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7" activeTab="0"/>
  </bookViews>
  <sheets>
    <sheet name="Todas las Pruebas 2019" sheetId="1" r:id="rId1"/>
    <sheet name="Promedios 2019" sheetId="2" r:id="rId2"/>
    <sheet name="Mejores Tiradores 2019" sheetId="3" r:id="rId3"/>
    <sheet name="Libro Records 2019" sheetId="4" r:id="rId4"/>
  </sheets>
  <definedNames>
    <definedName name="_xlnm.Print_Area" localSheetId="3">'Libro Records 2019'!$B$1:$E$38</definedName>
    <definedName name="_xlnm.Print_Area" localSheetId="2">'Mejores Tiradores 2019'!$A$2:$C$19</definedName>
    <definedName name="_xlnm.Print_Area" localSheetId="1">'Promedios 2019'!$A$2:$M$354</definedName>
    <definedName name="_xlnm.Print_Area" localSheetId="0">'Todas las Pruebas 2019'!$B$2:$G$829</definedName>
    <definedName name="Excel_BuiltIn_Print_Area" localSheetId="2">'Mejores Tiradores 2019'!$B$2:$C$15</definedName>
    <definedName name="Excel_BuiltIn_Print_Area" localSheetId="0">'Todas las Pruebas 2019'!$B$2:$G$805</definedName>
    <definedName name="Excel_BuiltIn_Print_Area" localSheetId="2">'Mejores Tiradores 2019'!$A$2:$C$15</definedName>
    <definedName name="Excel_BuiltIn_Print_Area" localSheetId="1">'Promedios 2019'!$A$2:$N$353</definedName>
    <definedName name="Excel_BuiltIn_Print_Area" localSheetId="0">'Todas las Pruebas 2019'!$B$2:$G$792</definedName>
    <definedName name="Excel_BuiltIn_Print_Area" localSheetId="0">'Todas las Pruebas 2019'!$B$2:$G$774</definedName>
    <definedName name="Excel_BuiltIn_Print_Area" localSheetId="0">'Todas las Pruebas 2019'!$B$2:$G$754</definedName>
  </definedNames>
  <calcPr fullCalcOnLoad="1"/>
</workbook>
</file>

<file path=xl/sharedStrings.xml><?xml version="1.0" encoding="utf-8"?>
<sst xmlns="http://schemas.openxmlformats.org/spreadsheetml/2006/main" count="2641" uniqueCount="292">
  <si>
    <t>Pruebas Internas C.U.T. 2019</t>
  </si>
  <si>
    <t>Competencia</t>
  </si>
  <si>
    <t>Fecha</t>
  </si>
  <si>
    <t>Competidor</t>
  </si>
  <si>
    <t>Puntaje</t>
  </si>
  <si>
    <t>Pos.</t>
  </si>
  <si>
    <t>Part.</t>
  </si>
  <si>
    <t>Revolver Magnum</t>
  </si>
  <si>
    <t>ALONSO, Alvaro</t>
  </si>
  <si>
    <t>1º</t>
  </si>
  <si>
    <t>Cal. 44</t>
  </si>
  <si>
    <t>FRUTOS, Gualberto</t>
  </si>
  <si>
    <t>2º</t>
  </si>
  <si>
    <t>MARTINEZ, Manuel</t>
  </si>
  <si>
    <t>3º</t>
  </si>
  <si>
    <t>URRUSTY, Carlos</t>
  </si>
  <si>
    <t>4º</t>
  </si>
  <si>
    <t>VOLA, Mario</t>
  </si>
  <si>
    <t>5º</t>
  </si>
  <si>
    <t>BARRERO, Juan</t>
  </si>
  <si>
    <t>6º</t>
  </si>
  <si>
    <t>VILAS, Luis</t>
  </si>
  <si>
    <t>7º</t>
  </si>
  <si>
    <t>FABRE, Raúl</t>
  </si>
  <si>
    <t>Cal. 357</t>
  </si>
  <si>
    <t>PEREZ, Héctor</t>
  </si>
  <si>
    <t>VERA, Rafael</t>
  </si>
  <si>
    <t>PISTOLA MILITAR</t>
  </si>
  <si>
    <t>VILLANUEVA, Daniel</t>
  </si>
  <si>
    <t>CAL. 9 mm</t>
  </si>
  <si>
    <t>PAOLINO, Nicolás</t>
  </si>
  <si>
    <t>DOMINGUEZ, Tabaré</t>
  </si>
  <si>
    <t>CULASSO, Juan</t>
  </si>
  <si>
    <t>Cat. NOVICIO</t>
  </si>
  <si>
    <t>VILANUEVA, Daniel</t>
  </si>
  <si>
    <t>CAL. 45 ACP</t>
  </si>
  <si>
    <t>PAOLINO, Gerardo</t>
  </si>
  <si>
    <t>TIRO PRACTICO</t>
  </si>
  <si>
    <t>DE MARINO, Luciano</t>
  </si>
  <si>
    <t>1RA. CATEGORÍA</t>
  </si>
  <si>
    <t>URIARTE, Gustavo</t>
  </si>
  <si>
    <t>YARZA, Alberto</t>
  </si>
  <si>
    <t>MONTAÑEZ, Julian</t>
  </si>
  <si>
    <t>FORNARO, Carlos</t>
  </si>
  <si>
    <t>TEJERA, Gabriel</t>
  </si>
  <si>
    <t>2DA. CATEGORÍA</t>
  </si>
  <si>
    <t>GERONES, Darwin</t>
  </si>
  <si>
    <t>VEIGA, Raphael</t>
  </si>
  <si>
    <t>CHAMORRO, Ruben</t>
  </si>
  <si>
    <t>APKARIAN, Fabio</t>
  </si>
  <si>
    <t>8º</t>
  </si>
  <si>
    <t>9º</t>
  </si>
  <si>
    <t>ABUT, Alberto</t>
  </si>
  <si>
    <t>CATEGORIA NOVICIOS</t>
  </si>
  <si>
    <t>MAÑAS, Maximiliano</t>
  </si>
  <si>
    <t>FBI REVOLVER</t>
  </si>
  <si>
    <t>1ra. Categoria</t>
  </si>
  <si>
    <t>DOMINGUEZ, Alberto</t>
  </si>
  <si>
    <t>IBARRA, Raimundo</t>
  </si>
  <si>
    <t>2da. Categoría</t>
  </si>
  <si>
    <t>FBI PISTOLA</t>
  </si>
  <si>
    <t>CURBELO, Artigas</t>
  </si>
  <si>
    <t>Cat. Novicios</t>
  </si>
  <si>
    <t>RIFLE APOYADO 22</t>
  </si>
  <si>
    <t>MILESI, Pedro</t>
  </si>
  <si>
    <t>CUNEO, Milton</t>
  </si>
  <si>
    <t>GASDIA, Abaete</t>
  </si>
  <si>
    <t>10º</t>
  </si>
  <si>
    <t>BIMONTE, Diego</t>
  </si>
  <si>
    <t>SEZEÑAS, Miguel</t>
  </si>
  <si>
    <t>COSENTINO, Ivan</t>
  </si>
  <si>
    <t>Categoría Novicios</t>
  </si>
  <si>
    <t>FERNANDEZ, Guillermo</t>
  </si>
  <si>
    <t>FBI Cal. 22</t>
  </si>
  <si>
    <t>SAN MARTIN, Fernando</t>
  </si>
  <si>
    <t>11º</t>
  </si>
  <si>
    <t>MOREIRA, Hector</t>
  </si>
  <si>
    <t>12º</t>
  </si>
  <si>
    <t>TIRO AL JABALÍ</t>
  </si>
  <si>
    <t>MARCHETTI, Marcelo</t>
  </si>
  <si>
    <t>FUREST, Gabriel</t>
  </si>
  <si>
    <t>TIRO AL PLATO</t>
  </si>
  <si>
    <t>PISTOLA</t>
  </si>
  <si>
    <t>DOMENECH, Martin</t>
  </si>
  <si>
    <t>REVOLVER</t>
  </si>
  <si>
    <t>MICHY, Javier</t>
  </si>
  <si>
    <t>ROBLEDO, Alvaro</t>
  </si>
  <si>
    <t>CUNEO, Milton              (9x)</t>
  </si>
  <si>
    <t>1ra. Categoría</t>
  </si>
  <si>
    <t>MILESI, Pedro                 (8x)</t>
  </si>
  <si>
    <t>BARRERO, Juan               (6x)</t>
  </si>
  <si>
    <t>DOMINGUEZ, Alberto  (5x)</t>
  </si>
  <si>
    <t>CITERA, Julio</t>
  </si>
  <si>
    <t>Categoría Nocivios</t>
  </si>
  <si>
    <t>VACCARO, Juan</t>
  </si>
  <si>
    <t>ADIB, Alfredo</t>
  </si>
  <si>
    <t>DOMINGUEZ. Tabare</t>
  </si>
  <si>
    <t>ALSINA, Gabriel</t>
  </si>
  <si>
    <t>BARRERO, Juan               (5x)</t>
  </si>
  <si>
    <t>FRUTOS, Gualberto       (3x)</t>
  </si>
  <si>
    <t>100 %</t>
  </si>
  <si>
    <t>97,41 %</t>
  </si>
  <si>
    <t>88,45 %</t>
  </si>
  <si>
    <t>HOY, Sebastian</t>
  </si>
  <si>
    <t>86,57 %</t>
  </si>
  <si>
    <t>79,43 %</t>
  </si>
  <si>
    <t>MORIN, Alejandro</t>
  </si>
  <si>
    <t>62,26 %</t>
  </si>
  <si>
    <t>58,55 %</t>
  </si>
  <si>
    <t>DIZ, Gustavo</t>
  </si>
  <si>
    <t>55,33 %</t>
  </si>
  <si>
    <t>46,46 %</t>
  </si>
  <si>
    <t>CIFALDI, Fernando</t>
  </si>
  <si>
    <t>42,42 %</t>
  </si>
  <si>
    <t>DUARTE, Vinicius</t>
  </si>
  <si>
    <t>42,37 %</t>
  </si>
  <si>
    <t>92,24 %</t>
  </si>
  <si>
    <t>75,57 %</t>
  </si>
  <si>
    <t>68,25 %</t>
  </si>
  <si>
    <t>56,43 %</t>
  </si>
  <si>
    <t>48,88 %</t>
  </si>
  <si>
    <t xml:space="preserve"> 0 %</t>
  </si>
  <si>
    <t>ARROQUI, Pablo</t>
  </si>
  <si>
    <t>98,68 %</t>
  </si>
  <si>
    <t>COMPETENCIA</t>
  </si>
  <si>
    <t>86,18 %</t>
  </si>
  <si>
    <t>83º ANIVERSARIO</t>
  </si>
  <si>
    <t>76,52 %</t>
  </si>
  <si>
    <t>71,74 %</t>
  </si>
  <si>
    <t>PEIRANO, César</t>
  </si>
  <si>
    <t>70,62 %</t>
  </si>
  <si>
    <t>61,50 %</t>
  </si>
  <si>
    <t>DOMENECH, Martín</t>
  </si>
  <si>
    <t>61,29 %</t>
  </si>
  <si>
    <t>RODRIGUEZ, Milton</t>
  </si>
  <si>
    <t>43,75 %</t>
  </si>
  <si>
    <t>41,71 %</t>
  </si>
  <si>
    <t>CAMBON, Luis</t>
  </si>
  <si>
    <t>37,36 %</t>
  </si>
  <si>
    <t>33,14 %</t>
  </si>
  <si>
    <t>89,19 %</t>
  </si>
  <si>
    <t>QUIRINO, Andrés</t>
  </si>
  <si>
    <t>68,97 %</t>
  </si>
  <si>
    <t>66,73 %</t>
  </si>
  <si>
    <t>63,44 %</t>
  </si>
  <si>
    <t>59,13 %</t>
  </si>
  <si>
    <t>54,87 %</t>
  </si>
  <si>
    <t>53,76 %</t>
  </si>
  <si>
    <t>43,55 %</t>
  </si>
  <si>
    <t>41,85 %</t>
  </si>
  <si>
    <t>PASTORINI, Andrés</t>
  </si>
  <si>
    <t>41,39 %</t>
  </si>
  <si>
    <t>39,45 %</t>
  </si>
  <si>
    <t>GARCÍA, Fernando</t>
  </si>
  <si>
    <t>37,82 %</t>
  </si>
  <si>
    <t>13º</t>
  </si>
  <si>
    <t>37,18 %</t>
  </si>
  <si>
    <t>14º</t>
  </si>
  <si>
    <t>31,50 %</t>
  </si>
  <si>
    <t>15º</t>
  </si>
  <si>
    <t>FERNADEZ, Sergio</t>
  </si>
  <si>
    <t>23,39 %</t>
  </si>
  <si>
    <t>16º</t>
  </si>
  <si>
    <t>FRUTOS, Gualberto       (7x)</t>
  </si>
  <si>
    <t>ARROQUI, Pablo            (5X)</t>
  </si>
  <si>
    <t>BARRERO, Juan              (3X)</t>
  </si>
  <si>
    <t>GASDIA, Abaete            (2X)</t>
  </si>
  <si>
    <t>FABRE, Raúl                    (3X)</t>
  </si>
  <si>
    <t>VEIGA, Raphael             (0X)</t>
  </si>
  <si>
    <t>FUREST, Gabriel            (3X)</t>
  </si>
  <si>
    <t>BIMONTE, Diego           (2X)</t>
  </si>
  <si>
    <t>MORRONE, Miguel</t>
  </si>
  <si>
    <t>FERNANDEZ, Sergio</t>
  </si>
  <si>
    <t>ABELLA, Sergio</t>
  </si>
  <si>
    <t>BENGOECHEA, Fernando</t>
  </si>
  <si>
    <t>DOMINGUEZ, Tabare</t>
  </si>
  <si>
    <t>BARRERO, juan</t>
  </si>
  <si>
    <t>ARTIGAS, Curbelo</t>
  </si>
  <si>
    <t>VEIGA, Rafael</t>
  </si>
  <si>
    <t>CURVELO, Artigas</t>
  </si>
  <si>
    <t xml:space="preserve">GASDIA, Abaete            </t>
  </si>
  <si>
    <t>MILESI, Pedro                 (6x)</t>
  </si>
  <si>
    <t>YARZA, Alberto               (5x)</t>
  </si>
  <si>
    <t>CUNEO, Milton               (5x)</t>
  </si>
  <si>
    <t>CAMBEIRO, Marcelo</t>
  </si>
  <si>
    <t>PISTOLA TIRO RÁPIDO</t>
  </si>
  <si>
    <t>BORGNO, Enrique</t>
  </si>
  <si>
    <t>SEGOVIA, Richard</t>
  </si>
  <si>
    <t>MARCEHTTI, Marcelo</t>
  </si>
  <si>
    <t>Novicios</t>
  </si>
  <si>
    <t>FUEGO CENTRAL</t>
  </si>
  <si>
    <t>MONTAÑEZ, Julian        (18)</t>
  </si>
  <si>
    <t>BARRERO, Juan              (17)</t>
  </si>
  <si>
    <t>ANDRES, Pablo</t>
  </si>
  <si>
    <t>GUILLAMA, Ernesto</t>
  </si>
  <si>
    <t>ETCHEVERRY, Liber</t>
  </si>
  <si>
    <t>BARRERO, Pablo</t>
  </si>
  <si>
    <t>PISTOLA STANDARD</t>
  </si>
  <si>
    <t>MAUTONE, Julieta</t>
  </si>
  <si>
    <t>ROJAS, Gerardo</t>
  </si>
  <si>
    <t>TROCHE, Carlos</t>
  </si>
  <si>
    <t>DEVIDA, Enrique</t>
  </si>
  <si>
    <t>SALMONA, Bruno</t>
  </si>
  <si>
    <t>GARCIA, Javier</t>
  </si>
  <si>
    <t>MARQUEZ, Dante</t>
  </si>
  <si>
    <t>DOMIGUEZ, Tabare</t>
  </si>
  <si>
    <t>DOMONGUEZ, Alberto</t>
  </si>
  <si>
    <t>GOFFI, Aldo</t>
  </si>
  <si>
    <t>PISTOLA DEPORTIVA</t>
  </si>
  <si>
    <t>45 ACP</t>
  </si>
  <si>
    <t>9 MM.</t>
  </si>
  <si>
    <t>Promedios para mejor tirador del año 2019</t>
  </si>
  <si>
    <t>PISTOLA MILITAR - 45 ACP</t>
  </si>
  <si>
    <t>(Promedio mejores 3 competencias)</t>
  </si>
  <si>
    <t>Promedio</t>
  </si>
  <si>
    <t>GARCÍA, Javier</t>
  </si>
  <si>
    <t>PISTOLA MILITAR - 9 mm.</t>
  </si>
  <si>
    <t>CHAMORRO, Rubén</t>
  </si>
  <si>
    <t>GARCIA, Fernando</t>
  </si>
  <si>
    <t>PISTOLA ESTANDAR</t>
  </si>
  <si>
    <t>FBI REVOLVER - 1ra. Categoría (100/60)</t>
  </si>
  <si>
    <t>(Promedio mejores 5 competencias)</t>
  </si>
  <si>
    <t>FBI REVOLVER - 2da. Categoría (59,99/0)</t>
  </si>
  <si>
    <t>FBI REVOLVER - Cat. NOVICIOS (hasta 3ra. fecha)</t>
  </si>
  <si>
    <t>FBI PISTOLA - 1ra. Categoría (100/70)</t>
  </si>
  <si>
    <t>MONTAÑEZ, Jualian</t>
  </si>
  <si>
    <t>FBI PISTOLA - 2da. Categoría (69/0)</t>
  </si>
  <si>
    <t>FBI PISTOLA - Cat. NOVICIOS (hasta 3ra. fecha)</t>
  </si>
  <si>
    <t>ALCINA, Gabriel</t>
  </si>
  <si>
    <t>RIFLE APOYADO 22  - 1ra. Categoría (200/180)</t>
  </si>
  <si>
    <t>RIFLE APOYADO 22  - 2da. Categoría (179/0)</t>
  </si>
  <si>
    <t>CHAMORRO, rubén</t>
  </si>
  <si>
    <t>RIFLE APOYADO 22  - Categoría Novicios</t>
  </si>
  <si>
    <t>TIRO PRÁCTICO - 1ra. Categoría</t>
  </si>
  <si>
    <t>TIRO PRÁCTICO - 2da. Categoría</t>
  </si>
  <si>
    <t>TIRO PRÁCTICO - Categoría NOVICIOS</t>
  </si>
  <si>
    <t>REVOLVER MAGNUM - CAL. 44 Mag.</t>
  </si>
  <si>
    <t>REVOLVER MAGNUM - CAL. 357 Mag.</t>
  </si>
  <si>
    <t>FBI CAL. 22</t>
  </si>
  <si>
    <t>FBI CAL. 22 - Cat. NOVICIOS (hasta 3ra. fecha)</t>
  </si>
  <si>
    <t>TIRO PLATO ARMA CORTA - PISTOLA</t>
  </si>
  <si>
    <t>MONTAÑEZ, Julián</t>
  </si>
  <si>
    <t>TIRO PLATO ARMA CORTA - REVOLVER</t>
  </si>
  <si>
    <t>TIRO AL JABALI</t>
  </si>
  <si>
    <t>PISTOLA TIRO RAPIDO</t>
  </si>
  <si>
    <t>MEJORES TIRADORES 2019</t>
  </si>
  <si>
    <t>Prueba</t>
  </si>
  <si>
    <t>Tirador</t>
  </si>
  <si>
    <t>FBI Pistola - 1ra. Categoría</t>
  </si>
  <si>
    <t>FBI Pistola - 2da. Categoría</t>
  </si>
  <si>
    <t>FBI Revolver - 1ra. Categoría</t>
  </si>
  <si>
    <t>FBI Revolver - 2da. Categoría</t>
  </si>
  <si>
    <t>Pistola Militar Cal. 45 ACP</t>
  </si>
  <si>
    <t>Pistola Militar Cal. 9 mm</t>
  </si>
  <si>
    <t>Revólver Magnum – Cal. 357</t>
  </si>
  <si>
    <t>Revólver Magnum – Cal. 44</t>
  </si>
  <si>
    <t>Rifle Apoyado 22 Lr – 1ra. Categoría</t>
  </si>
  <si>
    <t>Rifle Apoyado 22 Lr – 2da. Categoría</t>
  </si>
  <si>
    <t>Tiro al Jabalí</t>
  </si>
  <si>
    <t>Tiro al Plato – Pistola</t>
  </si>
  <si>
    <t>Tiro al Plato – Revolver</t>
  </si>
  <si>
    <t>Tiro Práctico – 1ra. Categoría</t>
  </si>
  <si>
    <t>Tiro Práctico – 2da. Categoría</t>
  </si>
  <si>
    <t>F.B.I. - REVOLVER</t>
  </si>
  <si>
    <t>96</t>
  </si>
  <si>
    <t>F.B.I. - PISTOLA</t>
  </si>
  <si>
    <t>99</t>
  </si>
  <si>
    <t>F.B.I. Cal. 22</t>
  </si>
  <si>
    <t>184</t>
  </si>
  <si>
    <t>TIRO PRÁCTICO</t>
  </si>
  <si>
    <t>29,98</t>
  </si>
  <si>
    <t>REVOLVER MAGNUM - Cal. 44 Msg.</t>
  </si>
  <si>
    <t>47</t>
  </si>
  <si>
    <t>REVOLVER MAGNUM - Cal. 357 Mag.</t>
  </si>
  <si>
    <t>44</t>
  </si>
  <si>
    <t>RIFLE 22 SENTADO</t>
  </si>
  <si>
    <t>197</t>
  </si>
  <si>
    <t>20</t>
  </si>
  <si>
    <t>TIRO AL PLATO - REVOLVER</t>
  </si>
  <si>
    <t>68,26</t>
  </si>
  <si>
    <t>TIRO AL PLATO - PISTOLA</t>
  </si>
  <si>
    <t>32,18</t>
  </si>
  <si>
    <t>531</t>
  </si>
  <si>
    <t>PISTOLA ESTANDARD</t>
  </si>
  <si>
    <t>521</t>
  </si>
  <si>
    <t>Pistola de Aire (Hombres)</t>
  </si>
  <si>
    <t>Pistola de Aire (Damas)</t>
  </si>
  <si>
    <t>Rifle de Aire</t>
  </si>
  <si>
    <t>Pistola Militar 9 mm.</t>
  </si>
  <si>
    <t>338</t>
  </si>
  <si>
    <t>Pistola Militar 45 ACP</t>
  </si>
  <si>
    <t>CARABINA SPORT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</si>
</sst>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\-MMM\-YY;@"/>
    <numFmt numFmtId="166" formatCode="DD/MM/YYYY"/>
    <numFmt numFmtId="167" formatCode="0"/>
    <numFmt numFmtId="168" formatCode="0.00"/>
    <numFmt numFmtId="169" formatCode="@"/>
    <numFmt numFmtId="170" formatCode="DD/MMM"/>
    <numFmt numFmtId="171" formatCode="#,##0"/>
    <numFmt numFmtId="172" formatCode="D&quot; de &quot;MMM&quot; de &quot;YY"/>
  </numFmts>
  <fonts count="31">
    <font>
      <sz val="10"/>
      <name val="Arial"/>
      <family val="2"/>
    </font>
    <font>
      <b/>
      <sz val="10"/>
      <name val="Arial"/>
      <family val="2"/>
    </font>
    <font>
      <b/>
      <sz val="28"/>
      <color indexed="43"/>
      <name val="AvantGarde Bk BT"/>
      <family val="2"/>
    </font>
    <font>
      <b/>
      <i/>
      <sz val="12"/>
      <name val="AvantGarde Bk BT"/>
      <family val="0"/>
    </font>
    <font>
      <b/>
      <sz val="12"/>
      <name val="AvantGarde Bk BT"/>
      <family val="2"/>
    </font>
    <font>
      <sz val="12"/>
      <name val="AvantGarde Bk BT"/>
      <family val="2"/>
    </font>
    <font>
      <b/>
      <sz val="16"/>
      <color indexed="43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2"/>
      <color indexed="9"/>
      <name val="AvantGarde Bk BT"/>
      <family val="2"/>
    </font>
    <font>
      <sz val="10"/>
      <name val="Calibri"/>
      <family val="2"/>
    </font>
    <font>
      <b/>
      <sz val="24"/>
      <color indexed="8"/>
      <name val="Calibri"/>
      <family val="2"/>
    </font>
    <font>
      <sz val="12"/>
      <name val="Calibri"/>
      <family val="2"/>
    </font>
    <font>
      <b/>
      <sz val="20"/>
      <color indexed="43"/>
      <name val="Calibri"/>
      <family val="2"/>
    </font>
    <font>
      <b/>
      <i/>
      <sz val="12"/>
      <color indexed="8"/>
      <name val="Calibri"/>
      <family val="2"/>
    </font>
    <font>
      <sz val="14"/>
      <name val="Calibri"/>
      <family val="2"/>
    </font>
    <font>
      <i/>
      <sz val="12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8"/>
      <color indexed="43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i/>
      <sz val="12"/>
      <name val="Calibri"/>
      <family val="2"/>
    </font>
    <font>
      <b/>
      <sz val="18"/>
      <color indexed="43"/>
      <name val="Berlin Sans FB"/>
      <family val="2"/>
    </font>
    <font>
      <b/>
      <sz val="16"/>
      <color indexed="43"/>
      <name val="Berlin Sans FB"/>
      <family val="2"/>
    </font>
    <font>
      <b/>
      <sz val="16"/>
      <name val="Berlin Sans FB"/>
      <family val="2"/>
    </font>
    <font>
      <b/>
      <sz val="18"/>
      <name val="Calibri"/>
      <family val="2"/>
    </font>
    <font>
      <b/>
      <sz val="16"/>
      <color indexed="53"/>
      <name val="Calibri"/>
      <family val="2"/>
    </font>
    <font>
      <b/>
      <u val="single"/>
      <strike/>
      <sz val="36"/>
      <color indexed="52"/>
      <name val="Tempus Sans ITC"/>
      <family val="5"/>
    </font>
  </fonts>
  <fills count="1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4" fontId="2" fillId="2" borderId="1" xfId="0" applyFont="1" applyFill="1" applyBorder="1" applyAlignment="1">
      <alignment horizontal="center"/>
    </xf>
    <xf numFmtId="166" fontId="3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6" fillId="2" borderId="2" xfId="0" applyFont="1" applyFill="1" applyBorder="1" applyAlignment="1">
      <alignment horizontal="center"/>
    </xf>
    <xf numFmtId="165" fontId="6" fillId="2" borderId="3" xfId="0" applyNumberFormat="1" applyFont="1" applyFill="1" applyBorder="1" applyAlignment="1">
      <alignment horizontal="center"/>
    </xf>
    <xf numFmtId="164" fontId="6" fillId="2" borderId="3" xfId="0" applyFont="1" applyFill="1" applyBorder="1" applyAlignment="1">
      <alignment horizontal="center"/>
    </xf>
    <xf numFmtId="164" fontId="6" fillId="2" borderId="4" xfId="0" applyFont="1" applyFill="1" applyBorder="1" applyAlignment="1">
      <alignment horizontal="center"/>
    </xf>
    <xf numFmtId="164" fontId="7" fillId="0" borderId="5" xfId="0" applyFont="1" applyBorder="1" applyAlignment="1">
      <alignment horizontal="center"/>
    </xf>
    <xf numFmtId="165" fontId="7" fillId="0" borderId="6" xfId="0" applyNumberFormat="1" applyFont="1" applyFill="1" applyBorder="1" applyAlignment="1">
      <alignment horizontal="center"/>
    </xf>
    <xf numFmtId="164" fontId="7" fillId="3" borderId="6" xfId="0" applyFont="1" applyFill="1" applyBorder="1" applyAlignment="1">
      <alignment/>
    </xf>
    <xf numFmtId="167" fontId="7" fillId="3" borderId="6" xfId="0" applyNumberFormat="1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4" fontId="7" fillId="0" borderId="8" xfId="0" applyFont="1" applyBorder="1" applyAlignment="1">
      <alignment horizontal="center"/>
    </xf>
    <xf numFmtId="164" fontId="7" fillId="0" borderId="9" xfId="0" applyFont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164" fontId="8" fillId="0" borderId="11" xfId="0" applyFont="1" applyBorder="1" applyAlignment="1">
      <alignment/>
    </xf>
    <xf numFmtId="167" fontId="8" fillId="0" borderId="11" xfId="0" applyNumberFormat="1" applyFont="1" applyBorder="1" applyAlignment="1">
      <alignment horizontal="center"/>
    </xf>
    <xf numFmtId="164" fontId="8" fillId="4" borderId="12" xfId="0" applyFont="1" applyFill="1" applyBorder="1" applyAlignment="1">
      <alignment horizontal="center"/>
    </xf>
    <xf numFmtId="164" fontId="7" fillId="0" borderId="13" xfId="0" applyFont="1" applyBorder="1" applyAlignment="1">
      <alignment horizontal="center"/>
    </xf>
    <xf numFmtId="164" fontId="8" fillId="0" borderId="11" xfId="0" applyFont="1" applyFill="1" applyBorder="1" applyAlignment="1">
      <alignment horizontal="center"/>
    </xf>
    <xf numFmtId="164" fontId="7" fillId="0" borderId="14" xfId="0" applyFont="1" applyBorder="1" applyAlignment="1">
      <alignment horizontal="center"/>
    </xf>
    <xf numFmtId="165" fontId="7" fillId="0" borderId="15" xfId="0" applyNumberFormat="1" applyFont="1" applyFill="1" applyBorder="1" applyAlignment="1">
      <alignment horizontal="center"/>
    </xf>
    <xf numFmtId="164" fontId="8" fillId="0" borderId="16" xfId="0" applyFont="1" applyBorder="1" applyAlignment="1">
      <alignment/>
    </xf>
    <xf numFmtId="167" fontId="8" fillId="0" borderId="16" xfId="0" applyNumberFormat="1" applyFont="1" applyBorder="1" applyAlignment="1">
      <alignment horizontal="center"/>
    </xf>
    <xf numFmtId="164" fontId="8" fillId="0" borderId="16" xfId="0" applyFont="1" applyFill="1" applyBorder="1" applyAlignment="1">
      <alignment horizontal="center"/>
    </xf>
    <xf numFmtId="164" fontId="7" fillId="0" borderId="17" xfId="0" applyFont="1" applyBorder="1" applyAlignment="1">
      <alignment horizontal="center"/>
    </xf>
    <xf numFmtId="164" fontId="8" fillId="0" borderId="12" xfId="0" applyFont="1" applyFill="1" applyBorder="1" applyAlignment="1">
      <alignment horizontal="center"/>
    </xf>
    <xf numFmtId="168" fontId="7" fillId="3" borderId="6" xfId="0" applyNumberFormat="1" applyFont="1" applyFill="1" applyBorder="1" applyAlignment="1">
      <alignment horizontal="center"/>
    </xf>
    <xf numFmtId="168" fontId="9" fillId="3" borderId="6" xfId="0" applyNumberFormat="1" applyFont="1" applyFill="1" applyBorder="1" applyAlignment="1">
      <alignment horizontal="center"/>
    </xf>
    <xf numFmtId="168" fontId="8" fillId="0" borderId="11" xfId="0" applyNumberFormat="1" applyFont="1" applyBorder="1" applyAlignment="1">
      <alignment horizontal="center"/>
    </xf>
    <xf numFmtId="168" fontId="10" fillId="0" borderId="11" xfId="0" applyNumberFormat="1" applyFont="1" applyBorder="1" applyAlignment="1">
      <alignment horizontal="center"/>
    </xf>
    <xf numFmtId="168" fontId="8" fillId="0" borderId="16" xfId="0" applyNumberFormat="1" applyFont="1" applyBorder="1" applyAlignment="1">
      <alignment horizontal="center"/>
    </xf>
    <xf numFmtId="168" fontId="10" fillId="0" borderId="16" xfId="0" applyNumberFormat="1" applyFont="1" applyBorder="1" applyAlignment="1">
      <alignment horizontal="center"/>
    </xf>
    <xf numFmtId="164" fontId="8" fillId="0" borderId="12" xfId="0" applyFont="1" applyFill="1" applyBorder="1" applyAlignment="1">
      <alignment/>
    </xf>
    <xf numFmtId="167" fontId="8" fillId="0" borderId="12" xfId="0" applyNumberFormat="1" applyFont="1" applyFill="1" applyBorder="1" applyAlignment="1">
      <alignment horizontal="center"/>
    </xf>
    <xf numFmtId="167" fontId="8" fillId="0" borderId="11" xfId="0" applyNumberFormat="1" applyFont="1" applyFill="1" applyBorder="1" applyAlignment="1">
      <alignment horizontal="center"/>
    </xf>
    <xf numFmtId="164" fontId="8" fillId="0" borderId="16" xfId="0" applyFont="1" applyFill="1" applyBorder="1" applyAlignment="1">
      <alignment/>
    </xf>
    <xf numFmtId="167" fontId="8" fillId="0" borderId="16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4" fontId="8" fillId="4" borderId="16" xfId="0" applyFont="1" applyFill="1" applyBorder="1" applyAlignment="1">
      <alignment horizontal="center"/>
    </xf>
    <xf numFmtId="164" fontId="7" fillId="0" borderId="7" xfId="0" applyFont="1" applyFill="1" applyBorder="1" applyAlignment="1">
      <alignment horizontal="center"/>
    </xf>
    <xf numFmtId="169" fontId="7" fillId="3" borderId="6" xfId="0" applyNumberFormat="1" applyFont="1" applyFill="1" applyBorder="1" applyAlignment="1">
      <alignment horizontal="center"/>
    </xf>
    <xf numFmtId="168" fontId="9" fillId="3" borderId="18" xfId="0" applyNumberFormat="1" applyFont="1" applyFill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168" fontId="10" fillId="0" borderId="19" xfId="0" applyNumberFormat="1" applyFont="1" applyBorder="1" applyAlignment="1">
      <alignment horizontal="center"/>
    </xf>
    <xf numFmtId="169" fontId="8" fillId="0" borderId="16" xfId="0" applyNumberFormat="1" applyFont="1" applyBorder="1" applyAlignment="1">
      <alignment horizontal="center"/>
    </xf>
    <xf numFmtId="168" fontId="10" fillId="0" borderId="20" xfId="0" applyNumberFormat="1" applyFont="1" applyBorder="1" applyAlignment="1">
      <alignment horizontal="center"/>
    </xf>
    <xf numFmtId="164" fontId="7" fillId="3" borderId="21" xfId="0" applyFont="1" applyFill="1" applyBorder="1" applyAlignment="1">
      <alignment/>
    </xf>
    <xf numFmtId="169" fontId="7" fillId="3" borderId="12" xfId="0" applyNumberFormat="1" applyFont="1" applyFill="1" applyBorder="1" applyAlignment="1">
      <alignment horizontal="center"/>
    </xf>
    <xf numFmtId="168" fontId="9" fillId="3" borderId="12" xfId="0" applyNumberFormat="1" applyFont="1" applyFill="1" applyBorder="1" applyAlignment="1">
      <alignment horizontal="center"/>
    </xf>
    <xf numFmtId="164" fontId="8" fillId="0" borderId="21" xfId="0" applyFont="1" applyFill="1" applyBorder="1" applyAlignment="1">
      <alignment/>
    </xf>
    <xf numFmtId="169" fontId="8" fillId="0" borderId="12" xfId="0" applyNumberFormat="1" applyFont="1" applyFill="1" applyBorder="1" applyAlignment="1">
      <alignment horizontal="center"/>
    </xf>
    <xf numFmtId="168" fontId="10" fillId="0" borderId="12" xfId="0" applyNumberFormat="1" applyFont="1" applyFill="1" applyBorder="1" applyAlignment="1">
      <alignment horizontal="center"/>
    </xf>
    <xf numFmtId="164" fontId="7" fillId="5" borderId="9" xfId="0" applyFont="1" applyFill="1" applyBorder="1" applyAlignment="1">
      <alignment horizontal="center"/>
    </xf>
    <xf numFmtId="164" fontId="8" fillId="4" borderId="11" xfId="0" applyFont="1" applyFill="1" applyBorder="1" applyAlignment="1">
      <alignment horizontal="center"/>
    </xf>
    <xf numFmtId="164" fontId="8" fillId="0" borderId="22" xfId="0" applyFont="1" applyFill="1" applyBorder="1" applyAlignment="1">
      <alignment/>
    </xf>
    <xf numFmtId="169" fontId="8" fillId="0" borderId="11" xfId="0" applyNumberFormat="1" applyFont="1" applyFill="1" applyBorder="1" applyAlignment="1">
      <alignment horizontal="center"/>
    </xf>
    <xf numFmtId="168" fontId="10" fillId="0" borderId="11" xfId="0" applyNumberFormat="1" applyFont="1" applyFill="1" applyBorder="1" applyAlignment="1">
      <alignment horizontal="center"/>
    </xf>
    <xf numFmtId="164" fontId="7" fillId="3" borderId="23" xfId="0" applyFont="1" applyFill="1" applyBorder="1" applyAlignment="1">
      <alignment/>
    </xf>
    <xf numFmtId="169" fontId="7" fillId="3" borderId="7" xfId="0" applyNumberFormat="1" applyFont="1" applyFill="1" applyBorder="1" applyAlignment="1">
      <alignment horizontal="center"/>
    </xf>
    <xf numFmtId="168" fontId="9" fillId="3" borderId="24" xfId="0" applyNumberFormat="1" applyFont="1" applyFill="1" applyBorder="1" applyAlignment="1">
      <alignment horizontal="center"/>
    </xf>
    <xf numFmtId="168" fontId="10" fillId="0" borderId="25" xfId="0" applyNumberFormat="1" applyFont="1" applyFill="1" applyBorder="1" applyAlignment="1">
      <alignment horizontal="center"/>
    </xf>
    <xf numFmtId="164" fontId="8" fillId="0" borderId="26" xfId="0" applyFont="1" applyFill="1" applyBorder="1" applyAlignment="1">
      <alignment/>
    </xf>
    <xf numFmtId="169" fontId="8" fillId="0" borderId="16" xfId="0" applyNumberFormat="1" applyFont="1" applyFill="1" applyBorder="1" applyAlignment="1">
      <alignment horizontal="center"/>
    </xf>
    <xf numFmtId="168" fontId="10" fillId="0" borderId="27" xfId="0" applyNumberFormat="1" applyFont="1" applyFill="1" applyBorder="1" applyAlignment="1">
      <alignment horizontal="center"/>
    </xf>
    <xf numFmtId="164" fontId="7" fillId="0" borderId="15" xfId="0" applyFont="1" applyBorder="1" applyAlignment="1">
      <alignment/>
    </xf>
    <xf numFmtId="167" fontId="7" fillId="0" borderId="15" xfId="0" applyNumberFormat="1" applyFont="1" applyBorder="1" applyAlignment="1">
      <alignment horizontal="center"/>
    </xf>
    <xf numFmtId="164" fontId="7" fillId="4" borderId="15" xfId="0" applyFont="1" applyFill="1" applyBorder="1" applyAlignment="1">
      <alignment horizontal="center"/>
    </xf>
    <xf numFmtId="168" fontId="10" fillId="0" borderId="8" xfId="0" applyNumberFormat="1" applyFont="1" applyBorder="1" applyAlignment="1">
      <alignment horizontal="center"/>
    </xf>
    <xf numFmtId="168" fontId="10" fillId="0" borderId="28" xfId="0" applyNumberFormat="1" applyFont="1" applyBorder="1" applyAlignment="1">
      <alignment horizontal="center"/>
    </xf>
    <xf numFmtId="168" fontId="10" fillId="0" borderId="27" xfId="0" applyNumberFormat="1" applyFont="1" applyBorder="1" applyAlignment="1">
      <alignment horizontal="center"/>
    </xf>
    <xf numFmtId="164" fontId="7" fillId="3" borderId="12" xfId="0" applyFont="1" applyFill="1" applyBorder="1" applyAlignment="1">
      <alignment/>
    </xf>
    <xf numFmtId="167" fontId="7" fillId="3" borderId="12" xfId="0" applyNumberFormat="1" applyFont="1" applyFill="1" applyBorder="1" applyAlignment="1">
      <alignment horizontal="center"/>
    </xf>
    <xf numFmtId="164" fontId="8" fillId="0" borderId="11" xfId="0" applyFont="1" applyFill="1" applyBorder="1" applyAlignment="1">
      <alignment/>
    </xf>
    <xf numFmtId="168" fontId="9" fillId="3" borderId="8" xfId="0" applyNumberFormat="1" applyFont="1" applyFill="1" applyBorder="1" applyAlignment="1">
      <alignment horizontal="center"/>
    </xf>
    <xf numFmtId="164" fontId="8" fillId="0" borderId="12" xfId="0" applyFont="1" applyBorder="1" applyAlignment="1">
      <alignment/>
    </xf>
    <xf numFmtId="164" fontId="8" fillId="0" borderId="10" xfId="0" applyFont="1" applyBorder="1" applyAlignment="1">
      <alignment/>
    </xf>
    <xf numFmtId="168" fontId="10" fillId="0" borderId="29" xfId="0" applyNumberFormat="1" applyFont="1" applyBorder="1" applyAlignment="1">
      <alignment horizontal="center"/>
    </xf>
    <xf numFmtId="167" fontId="8" fillId="0" borderId="12" xfId="0" applyNumberFormat="1" applyFont="1" applyBorder="1" applyAlignment="1">
      <alignment horizontal="center"/>
    </xf>
    <xf numFmtId="164" fontId="8" fillId="0" borderId="15" xfId="0" applyFont="1" applyBorder="1" applyAlignment="1">
      <alignment/>
    </xf>
    <xf numFmtId="167" fontId="8" fillId="0" borderId="15" xfId="0" applyNumberFormat="1" applyFont="1" applyBorder="1" applyAlignment="1">
      <alignment horizontal="center"/>
    </xf>
    <xf numFmtId="164" fontId="8" fillId="0" borderId="15" xfId="0" applyFont="1" applyFill="1" applyBorder="1" applyAlignment="1">
      <alignment horizontal="center"/>
    </xf>
    <xf numFmtId="168" fontId="10" fillId="0" borderId="30" xfId="0" applyNumberFormat="1" applyFont="1" applyBorder="1" applyAlignment="1">
      <alignment horizontal="center"/>
    </xf>
    <xf numFmtId="164" fontId="7" fillId="0" borderId="12" xfId="0" applyFont="1" applyFill="1" applyBorder="1" applyAlignment="1">
      <alignment/>
    </xf>
    <xf numFmtId="167" fontId="7" fillId="0" borderId="12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164" fontId="12" fillId="0" borderId="0" xfId="0" applyFont="1" applyFill="1" applyAlignment="1">
      <alignment/>
    </xf>
    <xf numFmtId="164" fontId="13" fillId="3" borderId="1" xfId="0" applyFont="1" applyFill="1" applyBorder="1" applyAlignment="1">
      <alignment horizontal="center"/>
    </xf>
    <xf numFmtId="164" fontId="12" fillId="0" borderId="0" xfId="0" applyFont="1" applyAlignment="1">
      <alignment/>
    </xf>
    <xf numFmtId="164" fontId="14" fillId="0" borderId="0" xfId="0" applyFont="1" applyFill="1" applyBorder="1" applyAlignment="1">
      <alignment horizontal="right"/>
    </xf>
    <xf numFmtId="164" fontId="15" fillId="6" borderId="1" xfId="0" applyFont="1" applyFill="1" applyBorder="1" applyAlignment="1">
      <alignment horizontal="center"/>
    </xf>
    <xf numFmtId="164" fontId="16" fillId="0" borderId="31" xfId="0" applyFont="1" applyFill="1" applyBorder="1" applyAlignment="1">
      <alignment horizontal="center"/>
    </xf>
    <xf numFmtId="164" fontId="16" fillId="0" borderId="0" xfId="0" applyFont="1" applyFill="1" applyBorder="1" applyAlignment="1">
      <alignment horizontal="center"/>
    </xf>
    <xf numFmtId="164" fontId="17" fillId="0" borderId="0" xfId="0" applyFont="1" applyFill="1" applyBorder="1" applyAlignment="1">
      <alignment horizontal="right"/>
    </xf>
    <xf numFmtId="164" fontId="14" fillId="0" borderId="0" xfId="0" applyFont="1" applyFill="1" applyAlignment="1">
      <alignment/>
    </xf>
    <xf numFmtId="164" fontId="18" fillId="0" borderId="0" xfId="0" applyFont="1" applyAlignment="1">
      <alignment horizontal="center"/>
    </xf>
    <xf numFmtId="164" fontId="19" fillId="0" borderId="0" xfId="0" applyFont="1" applyFill="1" applyBorder="1" applyAlignment="1">
      <alignment horizontal="right"/>
    </xf>
    <xf numFmtId="164" fontId="20" fillId="0" borderId="1" xfId="0" applyFont="1" applyFill="1" applyBorder="1" applyAlignment="1">
      <alignment horizontal="center"/>
    </xf>
    <xf numFmtId="170" fontId="20" fillId="0" borderId="32" xfId="0" applyNumberFormat="1" applyFont="1" applyFill="1" applyBorder="1" applyAlignment="1">
      <alignment horizontal="center"/>
    </xf>
    <xf numFmtId="170" fontId="20" fillId="0" borderId="3" xfId="0" applyNumberFormat="1" applyFont="1" applyFill="1" applyBorder="1" applyAlignment="1">
      <alignment horizontal="center"/>
    </xf>
    <xf numFmtId="170" fontId="20" fillId="5" borderId="3" xfId="0" applyNumberFormat="1" applyFont="1" applyFill="1" applyBorder="1" applyAlignment="1">
      <alignment horizontal="center"/>
    </xf>
    <xf numFmtId="164" fontId="19" fillId="3" borderId="1" xfId="0" applyFont="1" applyFill="1" applyBorder="1" applyAlignment="1">
      <alignment horizontal="center"/>
    </xf>
    <xf numFmtId="164" fontId="21" fillId="6" borderId="18" xfId="0" applyFont="1" applyFill="1" applyBorder="1" applyAlignment="1">
      <alignment/>
    </xf>
    <xf numFmtId="167" fontId="22" fillId="3" borderId="33" xfId="0" applyNumberFormat="1" applyFont="1" applyFill="1" applyBorder="1" applyAlignment="1">
      <alignment horizontal="center"/>
    </xf>
    <xf numFmtId="167" fontId="23" fillId="6" borderId="33" xfId="0" applyNumberFormat="1" applyFont="1" applyFill="1" applyBorder="1" applyAlignment="1">
      <alignment horizontal="center"/>
    </xf>
    <xf numFmtId="167" fontId="22" fillId="3" borderId="6" xfId="0" applyNumberFormat="1" applyFont="1" applyFill="1" applyBorder="1" applyAlignment="1">
      <alignment horizontal="center"/>
    </xf>
    <xf numFmtId="167" fontId="23" fillId="7" borderId="6" xfId="0" applyNumberFormat="1" applyFont="1" applyFill="1" applyBorder="1" applyAlignment="1">
      <alignment horizontal="center"/>
    </xf>
    <xf numFmtId="167" fontId="7" fillId="8" borderId="33" xfId="0" applyNumberFormat="1" applyFont="1" applyFill="1" applyBorder="1" applyAlignment="1">
      <alignment horizontal="center"/>
    </xf>
    <xf numFmtId="168" fontId="21" fillId="6" borderId="18" xfId="0" applyNumberFormat="1" applyFont="1" applyFill="1" applyBorder="1" applyAlignment="1">
      <alignment horizontal="center"/>
    </xf>
    <xf numFmtId="164" fontId="8" fillId="0" borderId="29" xfId="0" applyFont="1" applyBorder="1" applyAlignment="1">
      <alignment/>
    </xf>
    <xf numFmtId="167" fontId="23" fillId="7" borderId="34" xfId="0" applyNumberFormat="1" applyFont="1" applyFill="1" applyBorder="1" applyAlignment="1">
      <alignment horizontal="center"/>
    </xf>
    <xf numFmtId="167" fontId="23" fillId="6" borderId="12" xfId="0" applyNumberFormat="1" applyFont="1" applyFill="1" applyBorder="1" applyAlignment="1">
      <alignment horizontal="center"/>
    </xf>
    <xf numFmtId="167" fontId="23" fillId="7" borderId="12" xfId="0" applyNumberFormat="1" applyFont="1" applyFill="1" applyBorder="1" applyAlignment="1">
      <alignment horizontal="center"/>
    </xf>
    <xf numFmtId="167" fontId="23" fillId="7" borderId="25" xfId="0" applyNumberFormat="1" applyFont="1" applyFill="1" applyBorder="1" applyAlignment="1">
      <alignment horizontal="center"/>
    </xf>
    <xf numFmtId="168" fontId="6" fillId="3" borderId="29" xfId="0" applyNumberFormat="1" applyFont="1" applyFill="1" applyBorder="1" applyAlignment="1">
      <alignment horizontal="center"/>
    </xf>
    <xf numFmtId="167" fontId="8" fillId="7" borderId="34" xfId="0" applyNumberFormat="1" applyFont="1" applyFill="1" applyBorder="1" applyAlignment="1">
      <alignment horizontal="center"/>
    </xf>
    <xf numFmtId="164" fontId="8" fillId="0" borderId="19" xfId="0" applyFont="1" applyBorder="1" applyAlignment="1">
      <alignment/>
    </xf>
    <xf numFmtId="167" fontId="8" fillId="7" borderId="35" xfId="0" applyNumberFormat="1" applyFont="1" applyFill="1" applyBorder="1" applyAlignment="1">
      <alignment horizontal="center"/>
    </xf>
    <xf numFmtId="167" fontId="23" fillId="7" borderId="11" xfId="0" applyNumberFormat="1" applyFont="1" applyFill="1" applyBorder="1" applyAlignment="1">
      <alignment horizontal="center"/>
    </xf>
    <xf numFmtId="167" fontId="23" fillId="0" borderId="12" xfId="0" applyNumberFormat="1" applyFont="1" applyFill="1" applyBorder="1" applyAlignment="1">
      <alignment horizontal="center"/>
    </xf>
    <xf numFmtId="167" fontId="8" fillId="0" borderId="34" xfId="0" applyNumberFormat="1" applyFont="1" applyFill="1" applyBorder="1" applyAlignment="1">
      <alignment horizontal="center"/>
    </xf>
    <xf numFmtId="164" fontId="8" fillId="0" borderId="19" xfId="0" applyFont="1" applyFill="1" applyBorder="1" applyAlignment="1">
      <alignment/>
    </xf>
    <xf numFmtId="167" fontId="23" fillId="0" borderId="11" xfId="0" applyNumberFormat="1" applyFont="1" applyFill="1" applyBorder="1" applyAlignment="1">
      <alignment horizontal="center"/>
    </xf>
    <xf numFmtId="167" fontId="22" fillId="6" borderId="12" xfId="0" applyNumberFormat="1" applyFont="1" applyFill="1" applyBorder="1" applyAlignment="1">
      <alignment horizontal="center"/>
    </xf>
    <xf numFmtId="167" fontId="8" fillId="0" borderId="35" xfId="0" applyNumberFormat="1" applyFont="1" applyFill="1" applyBorder="1" applyAlignment="1">
      <alignment horizontal="center"/>
    </xf>
    <xf numFmtId="164" fontId="8" fillId="0" borderId="20" xfId="0" applyFont="1" applyFill="1" applyBorder="1" applyAlignment="1">
      <alignment/>
    </xf>
    <xf numFmtId="167" fontId="8" fillId="7" borderId="36" xfId="0" applyNumberFormat="1" applyFont="1" applyFill="1" applyBorder="1" applyAlignment="1">
      <alignment horizontal="center"/>
    </xf>
    <xf numFmtId="167" fontId="23" fillId="6" borderId="16" xfId="0" applyNumberFormat="1" applyFont="1" applyFill="1" applyBorder="1" applyAlignment="1">
      <alignment horizontal="center"/>
    </xf>
    <xf numFmtId="167" fontId="23" fillId="7" borderId="16" xfId="0" applyNumberFormat="1" applyFont="1" applyFill="1" applyBorder="1" applyAlignment="1">
      <alignment horizontal="center"/>
    </xf>
    <xf numFmtId="167" fontId="23" fillId="0" borderId="27" xfId="0" applyNumberFormat="1" applyFont="1" applyFill="1" applyBorder="1" applyAlignment="1">
      <alignment horizontal="center"/>
    </xf>
    <xf numFmtId="168" fontId="6" fillId="3" borderId="20" xfId="0" applyNumberFormat="1" applyFont="1" applyFill="1" applyBorder="1" applyAlignment="1">
      <alignment horizontal="center"/>
    </xf>
    <xf numFmtId="167" fontId="22" fillId="3" borderId="7" xfId="0" applyNumberFormat="1" applyFont="1" applyFill="1" applyBorder="1" applyAlignment="1">
      <alignment horizontal="center"/>
    </xf>
    <xf numFmtId="167" fontId="22" fillId="6" borderId="7" xfId="0" applyNumberFormat="1" applyFont="1" applyFill="1" applyBorder="1" applyAlignment="1">
      <alignment horizontal="center"/>
    </xf>
    <xf numFmtId="167" fontId="23" fillId="0" borderId="7" xfId="0" applyNumberFormat="1" applyFont="1" applyFill="1" applyBorder="1" applyAlignment="1">
      <alignment horizontal="center"/>
    </xf>
    <xf numFmtId="168" fontId="21" fillId="6" borderId="37" xfId="0" applyNumberFormat="1" applyFont="1" applyFill="1" applyBorder="1" applyAlignment="1">
      <alignment horizontal="center"/>
    </xf>
    <xf numFmtId="167" fontId="7" fillId="9" borderId="35" xfId="0" applyNumberFormat="1" applyFont="1" applyFill="1" applyBorder="1" applyAlignment="1">
      <alignment horizontal="center"/>
    </xf>
    <xf numFmtId="167" fontId="23" fillId="6" borderId="11" xfId="0" applyNumberFormat="1" applyFont="1" applyFill="1" applyBorder="1" applyAlignment="1">
      <alignment horizontal="center"/>
    </xf>
    <xf numFmtId="167" fontId="23" fillId="0" borderId="10" xfId="0" applyNumberFormat="1" applyFont="1" applyFill="1" applyBorder="1" applyAlignment="1">
      <alignment horizontal="center"/>
    </xf>
    <xf numFmtId="168" fontId="6" fillId="6" borderId="19" xfId="0" applyNumberFormat="1" applyFont="1" applyFill="1" applyBorder="1" applyAlignment="1">
      <alignment horizontal="center"/>
    </xf>
    <xf numFmtId="167" fontId="8" fillId="0" borderId="34" xfId="0" applyNumberFormat="1" applyFont="1" applyBorder="1" applyAlignment="1">
      <alignment horizontal="center"/>
    </xf>
    <xf numFmtId="164" fontId="8" fillId="0" borderId="38" xfId="0" applyFont="1" applyFill="1" applyBorder="1" applyAlignment="1">
      <alignment/>
    </xf>
    <xf numFmtId="167" fontId="8" fillId="7" borderId="39" xfId="0" applyNumberFormat="1" applyFont="1" applyFill="1" applyBorder="1" applyAlignment="1">
      <alignment horizontal="center"/>
    </xf>
    <xf numFmtId="167" fontId="22" fillId="6" borderId="35" xfId="0" applyNumberFormat="1" applyFont="1" applyFill="1" applyBorder="1" applyAlignment="1">
      <alignment horizontal="center"/>
    </xf>
    <xf numFmtId="167" fontId="22" fillId="7" borderId="12" xfId="0" applyNumberFormat="1" applyFont="1" applyFill="1" applyBorder="1" applyAlignment="1">
      <alignment horizontal="center"/>
    </xf>
    <xf numFmtId="167" fontId="7" fillId="8" borderId="35" xfId="0" applyNumberFormat="1" applyFont="1" applyFill="1" applyBorder="1" applyAlignment="1">
      <alignment horizontal="center"/>
    </xf>
    <xf numFmtId="167" fontId="22" fillId="3" borderId="12" xfId="0" applyNumberFormat="1" applyFont="1" applyFill="1" applyBorder="1" applyAlignment="1">
      <alignment horizontal="center"/>
    </xf>
    <xf numFmtId="167" fontId="8" fillId="0" borderId="35" xfId="0" applyNumberFormat="1" applyFont="1" applyBorder="1" applyAlignment="1">
      <alignment horizontal="center"/>
    </xf>
    <xf numFmtId="164" fontId="23" fillId="0" borderId="19" xfId="0" applyFont="1" applyFill="1" applyBorder="1" applyAlignment="1">
      <alignment/>
    </xf>
    <xf numFmtId="167" fontId="23" fillId="7" borderId="35" xfId="0" applyNumberFormat="1" applyFont="1" applyFill="1" applyBorder="1" applyAlignment="1">
      <alignment horizontal="center"/>
    </xf>
    <xf numFmtId="167" fontId="23" fillId="0" borderId="16" xfId="0" applyNumberFormat="1" applyFont="1" applyFill="1" applyBorder="1" applyAlignment="1">
      <alignment horizontal="center"/>
    </xf>
    <xf numFmtId="164" fontId="8" fillId="0" borderId="18" xfId="0" applyFont="1" applyFill="1" applyBorder="1" applyAlignment="1">
      <alignment/>
    </xf>
    <xf numFmtId="167" fontId="8" fillId="6" borderId="33" xfId="0" applyNumberFormat="1" applyFont="1" applyFill="1" applyBorder="1" applyAlignment="1">
      <alignment horizontal="center"/>
    </xf>
    <xf numFmtId="171" fontId="8" fillId="6" borderId="6" xfId="0" applyNumberFormat="1" applyFont="1" applyFill="1" applyBorder="1" applyAlignment="1">
      <alignment horizontal="center"/>
    </xf>
    <xf numFmtId="171" fontId="8" fillId="7" borderId="10" xfId="0" applyNumberFormat="1" applyFont="1" applyFill="1" applyBorder="1" applyAlignment="1">
      <alignment horizontal="center"/>
    </xf>
    <xf numFmtId="171" fontId="8" fillId="0" borderId="6" xfId="0" applyNumberFormat="1" applyFont="1" applyFill="1" applyBorder="1" applyAlignment="1">
      <alignment horizontal="center"/>
    </xf>
    <xf numFmtId="168" fontId="6" fillId="3" borderId="18" xfId="0" applyNumberFormat="1" applyFont="1" applyFill="1" applyBorder="1" applyAlignment="1">
      <alignment horizontal="center"/>
    </xf>
    <xf numFmtId="164" fontId="8" fillId="0" borderId="29" xfId="0" applyFont="1" applyFill="1" applyBorder="1" applyAlignment="1">
      <alignment/>
    </xf>
    <xf numFmtId="167" fontId="8" fillId="6" borderId="34" xfId="0" applyNumberFormat="1" applyFont="1" applyFill="1" applyBorder="1" applyAlignment="1">
      <alignment horizontal="center"/>
    </xf>
    <xf numFmtId="171" fontId="8" fillId="6" borderId="12" xfId="0" applyNumberFormat="1" applyFont="1" applyFill="1" applyBorder="1" applyAlignment="1">
      <alignment horizontal="center"/>
    </xf>
    <xf numFmtId="171" fontId="8" fillId="7" borderId="12" xfId="0" applyNumberFormat="1" applyFont="1" applyFill="1" applyBorder="1" applyAlignment="1">
      <alignment horizontal="center"/>
    </xf>
    <xf numFmtId="171" fontId="8" fillId="0" borderId="12" xfId="0" applyNumberFormat="1" applyFont="1" applyFill="1" applyBorder="1" applyAlignment="1">
      <alignment horizontal="center"/>
    </xf>
    <xf numFmtId="167" fontId="7" fillId="8" borderId="12" xfId="0" applyNumberFormat="1" applyFont="1" applyFill="1" applyBorder="1" applyAlignment="1">
      <alignment horizontal="center"/>
    </xf>
    <xf numFmtId="167" fontId="7" fillId="3" borderId="25" xfId="0" applyNumberFormat="1" applyFont="1" applyFill="1" applyBorder="1" applyAlignment="1">
      <alignment horizontal="center"/>
    </xf>
    <xf numFmtId="168" fontId="6" fillId="3" borderId="40" xfId="0" applyNumberFormat="1" applyFont="1" applyFill="1" applyBorder="1" applyAlignment="1">
      <alignment horizontal="center"/>
    </xf>
    <xf numFmtId="167" fontId="8" fillId="0" borderId="25" xfId="0" applyNumberFormat="1" applyFont="1" applyFill="1" applyBorder="1" applyAlignment="1">
      <alignment horizontal="center"/>
    </xf>
    <xf numFmtId="164" fontId="8" fillId="0" borderId="41" xfId="0" applyFont="1" applyFill="1" applyBorder="1" applyAlignment="1">
      <alignment/>
    </xf>
    <xf numFmtId="167" fontId="8" fillId="6" borderId="36" xfId="0" applyNumberFormat="1" applyFont="1" applyFill="1" applyBorder="1" applyAlignment="1">
      <alignment horizontal="center"/>
    </xf>
    <xf numFmtId="171" fontId="8" fillId="6" borderId="16" xfId="0" applyNumberFormat="1" applyFont="1" applyFill="1" applyBorder="1" applyAlignment="1">
      <alignment horizontal="center"/>
    </xf>
    <xf numFmtId="171" fontId="8" fillId="7" borderId="15" xfId="0" applyNumberFormat="1" applyFont="1" applyFill="1" applyBorder="1" applyAlignment="1">
      <alignment horizontal="center"/>
    </xf>
    <xf numFmtId="171" fontId="8" fillId="0" borderId="16" xfId="0" applyNumberFormat="1" applyFont="1" applyFill="1" applyBorder="1" applyAlignment="1">
      <alignment horizontal="center"/>
    </xf>
    <xf numFmtId="164" fontId="24" fillId="0" borderId="0" xfId="0" applyFont="1" applyAlignment="1">
      <alignment horizontal="center"/>
    </xf>
    <xf numFmtId="164" fontId="8" fillId="0" borderId="18" xfId="0" applyFont="1" applyBorder="1" applyAlignment="1">
      <alignment/>
    </xf>
    <xf numFmtId="167" fontId="8" fillId="0" borderId="6" xfId="0" applyNumberFormat="1" applyFont="1" applyBorder="1" applyAlignment="1">
      <alignment horizontal="center"/>
    </xf>
    <xf numFmtId="171" fontId="8" fillId="0" borderId="7" xfId="0" applyNumberFormat="1" applyFont="1" applyFill="1" applyBorder="1" applyAlignment="1">
      <alignment horizontal="center"/>
    </xf>
    <xf numFmtId="168" fontId="6" fillId="3" borderId="37" xfId="0" applyNumberFormat="1" applyFont="1" applyFill="1" applyBorder="1" applyAlignment="1">
      <alignment horizontal="center"/>
    </xf>
    <xf numFmtId="167" fontId="7" fillId="8" borderId="11" xfId="0" applyNumberFormat="1" applyFont="1" applyFill="1" applyBorder="1" applyAlignment="1">
      <alignment horizontal="center"/>
    </xf>
    <xf numFmtId="170" fontId="20" fillId="10" borderId="3" xfId="0" applyNumberFormat="1" applyFont="1" applyFill="1" applyBorder="1" applyAlignment="1">
      <alignment horizontal="center"/>
    </xf>
    <xf numFmtId="167" fontId="7" fillId="3" borderId="33" xfId="0" applyNumberFormat="1" applyFont="1" applyFill="1" applyBorder="1" applyAlignment="1">
      <alignment horizontal="center"/>
    </xf>
    <xf numFmtId="167" fontId="7" fillId="8" borderId="7" xfId="0" applyNumberFormat="1" applyFont="1" applyFill="1" applyBorder="1" applyAlignment="1">
      <alignment horizontal="center"/>
    </xf>
    <xf numFmtId="167" fontId="7" fillId="3" borderId="7" xfId="0" applyNumberFormat="1" applyFont="1" applyFill="1" applyBorder="1" applyAlignment="1">
      <alignment horizontal="center"/>
    </xf>
    <xf numFmtId="167" fontId="7" fillId="3" borderId="42" xfId="0" applyNumberFormat="1" applyFont="1" applyFill="1" applyBorder="1" applyAlignment="1">
      <alignment horizontal="center"/>
    </xf>
    <xf numFmtId="171" fontId="8" fillId="0" borderId="35" xfId="0" applyNumberFormat="1" applyFont="1" applyFill="1" applyBorder="1" applyAlignment="1">
      <alignment horizontal="center"/>
    </xf>
    <xf numFmtId="171" fontId="8" fillId="0" borderId="43" xfId="0" applyNumberFormat="1" applyFont="1" applyFill="1" applyBorder="1" applyAlignment="1">
      <alignment horizontal="center"/>
    </xf>
    <xf numFmtId="168" fontId="6" fillId="6" borderId="29" xfId="0" applyNumberFormat="1" applyFont="1" applyFill="1" applyBorder="1" applyAlignment="1">
      <alignment horizontal="center"/>
    </xf>
    <xf numFmtId="171" fontId="8" fillId="7" borderId="43" xfId="0" applyNumberFormat="1" applyFont="1" applyFill="1" applyBorder="1" applyAlignment="1">
      <alignment horizontal="center"/>
    </xf>
    <xf numFmtId="171" fontId="8" fillId="0" borderId="34" xfId="0" applyNumberFormat="1" applyFont="1" applyFill="1" applyBorder="1" applyAlignment="1">
      <alignment horizontal="center"/>
    </xf>
    <xf numFmtId="171" fontId="8" fillId="7" borderId="44" xfId="0" applyNumberFormat="1" applyFont="1" applyFill="1" applyBorder="1" applyAlignment="1">
      <alignment horizontal="center"/>
    </xf>
    <xf numFmtId="171" fontId="8" fillId="0" borderId="44" xfId="0" applyNumberFormat="1" applyFont="1" applyFill="1" applyBorder="1" applyAlignment="1">
      <alignment horizontal="center"/>
    </xf>
    <xf numFmtId="171" fontId="7" fillId="7" borderId="44" xfId="0" applyNumberFormat="1" applyFont="1" applyFill="1" applyBorder="1" applyAlignment="1">
      <alignment horizontal="center"/>
    </xf>
    <xf numFmtId="171" fontId="8" fillId="7" borderId="35" xfId="0" applyNumberFormat="1" applyFont="1" applyFill="1" applyBorder="1" applyAlignment="1">
      <alignment horizontal="center"/>
    </xf>
    <xf numFmtId="171" fontId="8" fillId="7" borderId="16" xfId="0" applyNumberFormat="1" applyFont="1" applyFill="1" applyBorder="1" applyAlignment="1">
      <alignment horizontal="center"/>
    </xf>
    <xf numFmtId="171" fontId="8" fillId="7" borderId="45" xfId="0" applyNumberFormat="1" applyFont="1" applyFill="1" applyBorder="1" applyAlignment="1">
      <alignment horizontal="center"/>
    </xf>
    <xf numFmtId="164" fontId="17" fillId="0" borderId="0" xfId="0" applyFont="1" applyAlignment="1">
      <alignment/>
    </xf>
    <xf numFmtId="171" fontId="8" fillId="7" borderId="7" xfId="0" applyNumberFormat="1" applyFont="1" applyFill="1" applyBorder="1" applyAlignment="1">
      <alignment horizontal="center"/>
    </xf>
    <xf numFmtId="164" fontId="8" fillId="11" borderId="19" xfId="0" applyFont="1" applyFill="1" applyBorder="1" applyAlignment="1">
      <alignment/>
    </xf>
    <xf numFmtId="167" fontId="8" fillId="11" borderId="35" xfId="0" applyNumberFormat="1" applyFont="1" applyFill="1" applyBorder="1" applyAlignment="1">
      <alignment horizontal="center"/>
    </xf>
    <xf numFmtId="167" fontId="7" fillId="9" borderId="34" xfId="0" applyNumberFormat="1" applyFont="1" applyFill="1" applyBorder="1" applyAlignment="1">
      <alignment horizontal="center"/>
    </xf>
    <xf numFmtId="171" fontId="8" fillId="7" borderId="34" xfId="0" applyNumberFormat="1" applyFont="1" applyFill="1" applyBorder="1" applyAlignment="1">
      <alignment horizontal="center"/>
    </xf>
    <xf numFmtId="167" fontId="7" fillId="9" borderId="12" xfId="0" applyNumberFormat="1" applyFont="1" applyFill="1" applyBorder="1" applyAlignment="1">
      <alignment horizontal="center"/>
    </xf>
    <xf numFmtId="171" fontId="7" fillId="7" borderId="34" xfId="0" applyNumberFormat="1" applyFont="1" applyFill="1" applyBorder="1" applyAlignment="1">
      <alignment horizontal="center"/>
    </xf>
    <xf numFmtId="171" fontId="7" fillId="7" borderId="10" xfId="0" applyNumberFormat="1" applyFont="1" applyFill="1" applyBorder="1" applyAlignment="1">
      <alignment horizontal="center"/>
    </xf>
    <xf numFmtId="171" fontId="8" fillId="0" borderId="10" xfId="0" applyNumberFormat="1" applyFont="1" applyFill="1" applyBorder="1" applyAlignment="1">
      <alignment horizontal="center"/>
    </xf>
    <xf numFmtId="168" fontId="6" fillId="3" borderId="38" xfId="0" applyNumberFormat="1" applyFont="1" applyFill="1" applyBorder="1" applyAlignment="1">
      <alignment horizontal="center"/>
    </xf>
    <xf numFmtId="171" fontId="8" fillId="7" borderId="36" xfId="0" applyNumberFormat="1" applyFont="1" applyFill="1" applyBorder="1" applyAlignment="1">
      <alignment horizontal="center"/>
    </xf>
    <xf numFmtId="171" fontId="7" fillId="7" borderId="36" xfId="0" applyNumberFormat="1" applyFont="1" applyFill="1" applyBorder="1" applyAlignment="1">
      <alignment horizontal="center"/>
    </xf>
    <xf numFmtId="171" fontId="7" fillId="7" borderId="16" xfId="0" applyNumberFormat="1" applyFont="1" applyFill="1" applyBorder="1" applyAlignment="1">
      <alignment horizontal="center"/>
    </xf>
    <xf numFmtId="171" fontId="7" fillId="7" borderId="12" xfId="0" applyNumberFormat="1" applyFont="1" applyFill="1" applyBorder="1" applyAlignment="1">
      <alignment horizontal="center"/>
    </xf>
    <xf numFmtId="171" fontId="8" fillId="0" borderId="42" xfId="0" applyNumberFormat="1" applyFont="1" applyFill="1" applyBorder="1" applyAlignment="1">
      <alignment horizontal="center"/>
    </xf>
    <xf numFmtId="167" fontId="7" fillId="3" borderId="35" xfId="0" applyNumberFormat="1" applyFont="1" applyFill="1" applyBorder="1" applyAlignment="1">
      <alignment horizontal="center"/>
    </xf>
    <xf numFmtId="167" fontId="7" fillId="3" borderId="43" xfId="0" applyNumberFormat="1" applyFont="1" applyFill="1" applyBorder="1" applyAlignment="1">
      <alignment horizontal="center"/>
    </xf>
    <xf numFmtId="171" fontId="8" fillId="0" borderId="11" xfId="0" applyNumberFormat="1" applyFont="1" applyFill="1" applyBorder="1" applyAlignment="1">
      <alignment horizontal="center"/>
    </xf>
    <xf numFmtId="171" fontId="8" fillId="7" borderId="11" xfId="0" applyNumberFormat="1" applyFont="1" applyFill="1" applyBorder="1" applyAlignment="1">
      <alignment horizontal="center"/>
    </xf>
    <xf numFmtId="171" fontId="8" fillId="0" borderId="30" xfId="0" applyNumberFormat="1" applyFont="1" applyFill="1" applyBorder="1" applyAlignment="1">
      <alignment horizontal="center"/>
    </xf>
    <xf numFmtId="171" fontId="8" fillId="7" borderId="30" xfId="0" applyNumberFormat="1" applyFont="1" applyFill="1" applyBorder="1" applyAlignment="1">
      <alignment horizontal="center"/>
    </xf>
    <xf numFmtId="167" fontId="8" fillId="7" borderId="12" xfId="0" applyNumberFormat="1" applyFont="1" applyFill="1" applyBorder="1" applyAlignment="1">
      <alignment horizontal="center"/>
    </xf>
    <xf numFmtId="171" fontId="8" fillId="7" borderId="39" xfId="0" applyNumberFormat="1" applyFont="1" applyFill="1" applyBorder="1" applyAlignment="1">
      <alignment horizontal="center"/>
    </xf>
    <xf numFmtId="167" fontId="8" fillId="7" borderId="11" xfId="0" applyNumberFormat="1" applyFont="1" applyFill="1" applyBorder="1" applyAlignment="1">
      <alignment horizontal="center"/>
    </xf>
    <xf numFmtId="164" fontId="21" fillId="6" borderId="37" xfId="0" applyFont="1" applyFill="1" applyBorder="1" applyAlignment="1">
      <alignment/>
    </xf>
    <xf numFmtId="167" fontId="7" fillId="9" borderId="46" xfId="0" applyNumberFormat="1" applyFont="1" applyFill="1" applyBorder="1" applyAlignment="1">
      <alignment horizontal="center"/>
    </xf>
    <xf numFmtId="167" fontId="7" fillId="3" borderId="46" xfId="0" applyNumberFormat="1" applyFont="1" applyFill="1" applyBorder="1" applyAlignment="1">
      <alignment horizontal="center"/>
    </xf>
    <xf numFmtId="171" fontId="7" fillId="7" borderId="7" xfId="0" applyNumberFormat="1" applyFont="1" applyFill="1" applyBorder="1" applyAlignment="1">
      <alignment horizontal="center"/>
    </xf>
    <xf numFmtId="167" fontId="7" fillId="9" borderId="10" xfId="0" applyNumberFormat="1" applyFont="1" applyFill="1" applyBorder="1" applyAlignment="1">
      <alignment horizontal="center"/>
    </xf>
    <xf numFmtId="171" fontId="7" fillId="9" borderId="12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/>
    </xf>
    <xf numFmtId="167" fontId="8" fillId="7" borderId="32" xfId="0" applyNumberFormat="1" applyFont="1" applyFill="1" applyBorder="1" applyAlignment="1">
      <alignment horizontal="center"/>
    </xf>
    <xf numFmtId="171" fontId="8" fillId="7" borderId="3" xfId="0" applyNumberFormat="1" applyFont="1" applyFill="1" applyBorder="1" applyAlignment="1">
      <alignment horizontal="center"/>
    </xf>
    <xf numFmtId="167" fontId="7" fillId="9" borderId="3" xfId="0" applyNumberFormat="1" applyFont="1" applyFill="1" applyBorder="1" applyAlignment="1">
      <alignment horizontal="center"/>
    </xf>
    <xf numFmtId="171" fontId="7" fillId="7" borderId="3" xfId="0" applyNumberFormat="1" applyFont="1" applyFill="1" applyBorder="1" applyAlignment="1">
      <alignment horizontal="center"/>
    </xf>
    <xf numFmtId="168" fontId="6" fillId="3" borderId="1" xfId="0" applyNumberFormat="1" applyFont="1" applyFill="1" applyBorder="1" applyAlignment="1">
      <alignment horizontal="center"/>
    </xf>
    <xf numFmtId="164" fontId="24" fillId="0" borderId="0" xfId="0" applyFont="1" applyFill="1" applyBorder="1" applyAlignment="1">
      <alignment horizontal="center"/>
    </xf>
    <xf numFmtId="164" fontId="16" fillId="0" borderId="0" xfId="0" applyFont="1" applyBorder="1" applyAlignment="1">
      <alignment horizontal="center"/>
    </xf>
    <xf numFmtId="164" fontId="6" fillId="6" borderId="19" xfId="0" applyFont="1" applyFill="1" applyBorder="1" applyAlignment="1">
      <alignment/>
    </xf>
    <xf numFmtId="171" fontId="7" fillId="3" borderId="12" xfId="0" applyNumberFormat="1" applyFont="1" applyFill="1" applyBorder="1" applyAlignment="1">
      <alignment horizontal="center"/>
    </xf>
    <xf numFmtId="168" fontId="21" fillId="6" borderId="29" xfId="0" applyNumberFormat="1" applyFont="1" applyFill="1" applyBorder="1" applyAlignment="1">
      <alignment horizontal="center"/>
    </xf>
    <xf numFmtId="171" fontId="8" fillId="12" borderId="43" xfId="0" applyNumberFormat="1" applyFont="1" applyFill="1" applyBorder="1" applyAlignment="1">
      <alignment horizontal="center"/>
    </xf>
    <xf numFmtId="164" fontId="8" fillId="0" borderId="47" xfId="0" applyFont="1" applyFill="1" applyBorder="1" applyAlignment="1">
      <alignment/>
    </xf>
    <xf numFmtId="167" fontId="8" fillId="0" borderId="48" xfId="0" applyNumberFormat="1" applyFont="1" applyFill="1" applyBorder="1" applyAlignment="1">
      <alignment horizontal="center"/>
    </xf>
    <xf numFmtId="171" fontId="8" fillId="0" borderId="48" xfId="0" applyNumberFormat="1" applyFont="1" applyFill="1" applyBorder="1" applyAlignment="1">
      <alignment horizontal="center"/>
    </xf>
    <xf numFmtId="171" fontId="8" fillId="0" borderId="49" xfId="0" applyNumberFormat="1" applyFont="1" applyFill="1" applyBorder="1" applyAlignment="1">
      <alignment horizontal="center"/>
    </xf>
    <xf numFmtId="171" fontId="8" fillId="0" borderId="50" xfId="0" applyNumberFormat="1" applyFont="1" applyFill="1" applyBorder="1" applyAlignment="1">
      <alignment horizontal="center"/>
    </xf>
    <xf numFmtId="168" fontId="6" fillId="6" borderId="47" xfId="0" applyNumberFormat="1" applyFont="1" applyFill="1" applyBorder="1" applyAlignment="1">
      <alignment horizontal="center"/>
    </xf>
    <xf numFmtId="164" fontId="8" fillId="0" borderId="51" xfId="0" applyFont="1" applyFill="1" applyBorder="1" applyAlignment="1">
      <alignment/>
    </xf>
    <xf numFmtId="167" fontId="8" fillId="7" borderId="52" xfId="0" applyNumberFormat="1" applyFont="1" applyFill="1" applyBorder="1" applyAlignment="1">
      <alignment horizontal="center"/>
    </xf>
    <xf numFmtId="171" fontId="8" fillId="7" borderId="53" xfId="0" applyNumberFormat="1" applyFont="1" applyFill="1" applyBorder="1" applyAlignment="1">
      <alignment horizontal="center"/>
    </xf>
    <xf numFmtId="171" fontId="8" fillId="0" borderId="53" xfId="0" applyNumberFormat="1" applyFont="1" applyFill="1" applyBorder="1" applyAlignment="1">
      <alignment horizontal="center"/>
    </xf>
    <xf numFmtId="171" fontId="7" fillId="7" borderId="53" xfId="0" applyNumberFormat="1" applyFont="1" applyFill="1" applyBorder="1" applyAlignment="1">
      <alignment horizontal="center"/>
    </xf>
    <xf numFmtId="168" fontId="6" fillId="3" borderId="51" xfId="0" applyNumberFormat="1" applyFont="1" applyFill="1" applyBorder="1" applyAlignment="1">
      <alignment horizontal="center"/>
    </xf>
    <xf numFmtId="171" fontId="8" fillId="7" borderId="52" xfId="0" applyNumberFormat="1" applyFont="1" applyFill="1" applyBorder="1" applyAlignment="1">
      <alignment horizontal="center"/>
    </xf>
    <xf numFmtId="164" fontId="21" fillId="6" borderId="19" xfId="0" applyFont="1" applyFill="1" applyBorder="1" applyAlignment="1">
      <alignment/>
    </xf>
    <xf numFmtId="167" fontId="7" fillId="13" borderId="35" xfId="0" applyNumberFormat="1" applyFont="1" applyFill="1" applyBorder="1" applyAlignment="1">
      <alignment horizontal="center"/>
    </xf>
    <xf numFmtId="167" fontId="7" fillId="13" borderId="11" xfId="0" applyNumberFormat="1" applyFont="1" applyFill="1" applyBorder="1" applyAlignment="1">
      <alignment horizontal="center"/>
    </xf>
    <xf numFmtId="167" fontId="7" fillId="3" borderId="53" xfId="0" applyNumberFormat="1" applyFont="1" applyFill="1" applyBorder="1" applyAlignment="1">
      <alignment horizontal="center"/>
    </xf>
    <xf numFmtId="171" fontId="8" fillId="0" borderId="54" xfId="0" applyNumberFormat="1" applyFont="1" applyFill="1" applyBorder="1" applyAlignment="1">
      <alignment horizontal="center"/>
    </xf>
    <xf numFmtId="168" fontId="6" fillId="6" borderId="51" xfId="0" applyNumberFormat="1" applyFont="1" applyFill="1" applyBorder="1" applyAlignment="1">
      <alignment horizontal="center"/>
    </xf>
    <xf numFmtId="167" fontId="7" fillId="3" borderId="52" xfId="0" applyNumberFormat="1" applyFont="1" applyFill="1" applyBorder="1" applyAlignment="1">
      <alignment horizontal="center"/>
    </xf>
    <xf numFmtId="167" fontId="7" fillId="3" borderId="11" xfId="0" applyNumberFormat="1" applyFont="1" applyFill="1" applyBorder="1" applyAlignment="1">
      <alignment horizontal="center"/>
    </xf>
    <xf numFmtId="167" fontId="7" fillId="13" borderId="12" xfId="0" applyNumberFormat="1" applyFont="1" applyFill="1" applyBorder="1" applyAlignment="1">
      <alignment horizontal="center"/>
    </xf>
    <xf numFmtId="171" fontId="8" fillId="7" borderId="49" xfId="0" applyNumberFormat="1" applyFont="1" applyFill="1" applyBorder="1" applyAlignment="1">
      <alignment horizontal="center"/>
    </xf>
    <xf numFmtId="168" fontId="6" fillId="3" borderId="47" xfId="0" applyNumberFormat="1" applyFont="1" applyFill="1" applyBorder="1" applyAlignment="1">
      <alignment horizontal="center"/>
    </xf>
    <xf numFmtId="168" fontId="8" fillId="0" borderId="35" xfId="0" applyNumberFormat="1" applyFont="1" applyFill="1" applyBorder="1" applyAlignment="1">
      <alignment horizontal="center"/>
    </xf>
    <xf numFmtId="168" fontId="8" fillId="0" borderId="12" xfId="0" applyNumberFormat="1" applyFont="1" applyFill="1" applyBorder="1" applyAlignment="1">
      <alignment horizontal="center"/>
    </xf>
    <xf numFmtId="168" fontId="7" fillId="3" borderId="12" xfId="0" applyNumberFormat="1" applyFont="1" applyFill="1" applyBorder="1" applyAlignment="1">
      <alignment horizontal="center"/>
    </xf>
    <xf numFmtId="168" fontId="8" fillId="7" borderId="12" xfId="0" applyNumberFormat="1" applyFont="1" applyFill="1" applyBorder="1" applyAlignment="1">
      <alignment horizontal="center"/>
    </xf>
    <xf numFmtId="168" fontId="8" fillId="0" borderId="52" xfId="0" applyNumberFormat="1" applyFont="1" applyFill="1" applyBorder="1" applyAlignment="1">
      <alignment horizontal="center"/>
    </xf>
    <xf numFmtId="168" fontId="8" fillId="0" borderId="53" xfId="0" applyNumberFormat="1" applyFont="1" applyFill="1" applyBorder="1" applyAlignment="1">
      <alignment horizontal="center"/>
    </xf>
    <xf numFmtId="168" fontId="7" fillId="3" borderId="53" xfId="0" applyNumberFormat="1" applyFont="1" applyFill="1" applyBorder="1" applyAlignment="1">
      <alignment horizontal="center"/>
    </xf>
    <xf numFmtId="168" fontId="7" fillId="3" borderId="11" xfId="0" applyNumberFormat="1" applyFont="1" applyFill="1" applyBorder="1" applyAlignment="1">
      <alignment horizontal="center"/>
    </xf>
    <xf numFmtId="168" fontId="8" fillId="0" borderId="11" xfId="0" applyNumberFormat="1" applyFont="1" applyFill="1" applyBorder="1" applyAlignment="1">
      <alignment horizontal="center"/>
    </xf>
    <xf numFmtId="168" fontId="8" fillId="7" borderId="11" xfId="0" applyNumberFormat="1" applyFont="1" applyFill="1" applyBorder="1" applyAlignment="1">
      <alignment horizontal="center"/>
    </xf>
    <xf numFmtId="168" fontId="8" fillId="7" borderId="53" xfId="0" applyNumberFormat="1" applyFont="1" applyFill="1" applyBorder="1" applyAlignment="1">
      <alignment horizontal="center"/>
    </xf>
    <xf numFmtId="168" fontId="8" fillId="7" borderId="52" xfId="0" applyNumberFormat="1" applyFont="1" applyFill="1" applyBorder="1" applyAlignment="1">
      <alignment horizontal="center"/>
    </xf>
    <xf numFmtId="168" fontId="7" fillId="7" borderId="12" xfId="0" applyNumberFormat="1" applyFont="1" applyFill="1" applyBorder="1" applyAlignment="1">
      <alignment horizontal="center"/>
    </xf>
    <xf numFmtId="168" fontId="8" fillId="7" borderId="35" xfId="0" applyNumberFormat="1" applyFont="1" applyFill="1" applyBorder="1" applyAlignment="1">
      <alignment horizontal="center"/>
    </xf>
    <xf numFmtId="168" fontId="7" fillId="3" borderId="35" xfId="0" applyNumberFormat="1" applyFont="1" applyFill="1" applyBorder="1" applyAlignment="1">
      <alignment horizontal="center"/>
    </xf>
    <xf numFmtId="164" fontId="21" fillId="6" borderId="29" xfId="0" applyFont="1" applyFill="1" applyBorder="1" applyAlignment="1">
      <alignment/>
    </xf>
    <xf numFmtId="168" fontId="7" fillId="3" borderId="34" xfId="0" applyNumberFormat="1" applyFont="1" applyFill="1" applyBorder="1" applyAlignment="1">
      <alignment horizontal="center"/>
    </xf>
    <xf numFmtId="168" fontId="8" fillId="0" borderId="34" xfId="0" applyNumberFormat="1" applyFont="1" applyFill="1" applyBorder="1" applyAlignment="1">
      <alignment horizontal="center"/>
    </xf>
    <xf numFmtId="168" fontId="7" fillId="0" borderId="12" xfId="0" applyNumberFormat="1" applyFont="1" applyFill="1" applyBorder="1" applyAlignment="1">
      <alignment horizontal="center"/>
    </xf>
    <xf numFmtId="168" fontId="8" fillId="7" borderId="34" xfId="0" applyNumberFormat="1" applyFont="1" applyFill="1" applyBorder="1" applyAlignment="1">
      <alignment horizontal="center"/>
    </xf>
    <xf numFmtId="168" fontId="7" fillId="13" borderId="12" xfId="0" applyNumberFormat="1" applyFont="1" applyFill="1" applyBorder="1" applyAlignment="1">
      <alignment horizontal="center"/>
    </xf>
    <xf numFmtId="168" fontId="7" fillId="13" borderId="53" xfId="0" applyNumberFormat="1" applyFont="1" applyFill="1" applyBorder="1" applyAlignment="1">
      <alignment horizontal="center"/>
    </xf>
    <xf numFmtId="168" fontId="7" fillId="7" borderId="53" xfId="0" applyNumberFormat="1" applyFont="1" applyFill="1" applyBorder="1" applyAlignment="1">
      <alignment horizontal="center"/>
    </xf>
    <xf numFmtId="168" fontId="8" fillId="0" borderId="39" xfId="0" applyNumberFormat="1" applyFont="1" applyFill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14" fillId="0" borderId="0" xfId="0" applyFont="1" applyAlignment="1">
      <alignment horizontal="left"/>
    </xf>
    <xf numFmtId="167" fontId="7" fillId="3" borderId="34" xfId="0" applyNumberFormat="1" applyFont="1" applyFill="1" applyBorder="1" applyAlignment="1">
      <alignment horizontal="center"/>
    </xf>
    <xf numFmtId="167" fontId="7" fillId="8" borderId="34" xfId="0" applyNumberFormat="1" applyFont="1" applyFill="1" applyBorder="1" applyAlignment="1">
      <alignment horizontal="center"/>
    </xf>
    <xf numFmtId="167" fontId="23" fillId="14" borderId="12" xfId="0" applyNumberFormat="1" applyFont="1" applyFill="1" applyBorder="1" applyAlignment="1">
      <alignment horizontal="center"/>
    </xf>
    <xf numFmtId="167" fontId="23" fillId="0" borderId="35" xfId="0" applyNumberFormat="1" applyFont="1" applyFill="1" applyBorder="1" applyAlignment="1">
      <alignment horizontal="center"/>
    </xf>
    <xf numFmtId="167" fontId="22" fillId="7" borderId="11" xfId="0" applyNumberFormat="1" applyFont="1" applyFill="1" applyBorder="1" applyAlignment="1">
      <alignment horizontal="center"/>
    </xf>
    <xf numFmtId="167" fontId="23" fillId="14" borderId="11" xfId="0" applyNumberFormat="1" applyFont="1" applyFill="1" applyBorder="1" applyAlignment="1">
      <alignment horizontal="center"/>
    </xf>
    <xf numFmtId="168" fontId="6" fillId="3" borderId="19" xfId="0" applyNumberFormat="1" applyFont="1" applyFill="1" applyBorder="1" applyAlignment="1">
      <alignment horizontal="center"/>
    </xf>
    <xf numFmtId="164" fontId="14" fillId="0" borderId="0" xfId="0" applyFont="1" applyAlignment="1">
      <alignment/>
    </xf>
    <xf numFmtId="167" fontId="8" fillId="7" borderId="33" xfId="0" applyNumberFormat="1" applyFont="1" applyFill="1" applyBorder="1" applyAlignment="1">
      <alignment horizontal="center"/>
    </xf>
    <xf numFmtId="167" fontId="22" fillId="3" borderId="35" xfId="0" applyNumberFormat="1" applyFont="1" applyFill="1" applyBorder="1" applyAlignment="1">
      <alignment horizontal="center"/>
    </xf>
    <xf numFmtId="164" fontId="23" fillId="0" borderId="51" xfId="0" applyFont="1" applyFill="1" applyBorder="1" applyAlignment="1">
      <alignment/>
    </xf>
    <xf numFmtId="167" fontId="23" fillId="7" borderId="52" xfId="0" applyNumberFormat="1" applyFont="1" applyFill="1" applyBorder="1" applyAlignment="1">
      <alignment horizontal="center"/>
    </xf>
    <xf numFmtId="167" fontId="23" fillId="0" borderId="53" xfId="0" applyNumberFormat="1" applyFont="1" applyFill="1" applyBorder="1" applyAlignment="1">
      <alignment horizontal="center"/>
    </xf>
    <xf numFmtId="167" fontId="22" fillId="3" borderId="52" xfId="0" applyNumberFormat="1" applyFont="1" applyFill="1" applyBorder="1" applyAlignment="1">
      <alignment horizontal="center"/>
    </xf>
    <xf numFmtId="164" fontId="8" fillId="0" borderId="38" xfId="0" applyFont="1" applyBorder="1" applyAlignment="1">
      <alignment/>
    </xf>
    <xf numFmtId="167" fontId="8" fillId="0" borderId="39" xfId="0" applyNumberFormat="1" applyFont="1" applyBorder="1" applyAlignment="1">
      <alignment horizontal="center"/>
    </xf>
    <xf numFmtId="167" fontId="23" fillId="0" borderId="34" xfId="0" applyNumberFormat="1" applyFont="1" applyFill="1" applyBorder="1" applyAlignment="1">
      <alignment horizontal="center"/>
    </xf>
    <xf numFmtId="167" fontId="7" fillId="9" borderId="52" xfId="0" applyNumberFormat="1" applyFont="1" applyFill="1" applyBorder="1" applyAlignment="1">
      <alignment horizontal="center"/>
    </xf>
    <xf numFmtId="167" fontId="23" fillId="7" borderId="53" xfId="0" applyNumberFormat="1" applyFont="1" applyFill="1" applyBorder="1" applyAlignment="1">
      <alignment horizontal="center"/>
    </xf>
    <xf numFmtId="167" fontId="23" fillId="7" borderId="49" xfId="0" applyNumberFormat="1" applyFont="1" applyFill="1" applyBorder="1" applyAlignment="1">
      <alignment horizontal="center"/>
    </xf>
    <xf numFmtId="167" fontId="7" fillId="9" borderId="55" xfId="0" applyNumberFormat="1" applyFont="1" applyFill="1" applyBorder="1" applyAlignment="1">
      <alignment horizontal="center"/>
    </xf>
    <xf numFmtId="168" fontId="23" fillId="0" borderId="12" xfId="0" applyNumberFormat="1" applyFont="1" applyFill="1" applyBorder="1" applyAlignment="1">
      <alignment horizontal="center"/>
    </xf>
    <xf numFmtId="168" fontId="8" fillId="0" borderId="35" xfId="0" applyNumberFormat="1" applyFont="1" applyBorder="1" applyAlignment="1">
      <alignment horizontal="center"/>
    </xf>
    <xf numFmtId="168" fontId="23" fillId="0" borderId="35" xfId="0" applyNumberFormat="1" applyFont="1" applyFill="1" applyBorder="1" applyAlignment="1">
      <alignment horizontal="center"/>
    </xf>
    <xf numFmtId="168" fontId="23" fillId="0" borderId="11" xfId="0" applyNumberFormat="1" applyFont="1" applyFill="1" applyBorder="1" applyAlignment="1">
      <alignment horizontal="center"/>
    </xf>
    <xf numFmtId="168" fontId="7" fillId="4" borderId="35" xfId="0" applyNumberFormat="1" applyFont="1" applyFill="1" applyBorder="1" applyAlignment="1">
      <alignment horizontal="center"/>
    </xf>
    <xf numFmtId="168" fontId="23" fillId="7" borderId="11" xfId="0" applyNumberFormat="1" applyFont="1" applyFill="1" applyBorder="1" applyAlignment="1">
      <alignment horizontal="center"/>
    </xf>
    <xf numFmtId="164" fontId="8" fillId="0" borderId="51" xfId="0" applyFont="1" applyBorder="1" applyAlignment="1">
      <alignment/>
    </xf>
    <xf numFmtId="168" fontId="8" fillId="0" borderId="52" xfId="0" applyNumberFormat="1" applyFont="1" applyBorder="1" applyAlignment="1">
      <alignment horizontal="center"/>
    </xf>
    <xf numFmtId="168" fontId="23" fillId="0" borderId="53" xfId="0" applyNumberFormat="1" applyFont="1" applyFill="1" applyBorder="1" applyAlignment="1">
      <alignment horizontal="center"/>
    </xf>
    <xf numFmtId="168" fontId="23" fillId="7" borderId="53" xfId="0" applyNumberFormat="1" applyFont="1" applyFill="1" applyBorder="1" applyAlignment="1">
      <alignment horizontal="center"/>
    </xf>
    <xf numFmtId="168" fontId="23" fillId="7" borderId="12" xfId="0" applyNumberFormat="1" applyFont="1" applyFill="1" applyBorder="1" applyAlignment="1">
      <alignment horizontal="center"/>
    </xf>
    <xf numFmtId="168" fontId="23" fillId="7" borderId="34" xfId="0" applyNumberFormat="1" applyFont="1" applyFill="1" applyBorder="1" applyAlignment="1">
      <alignment horizontal="center"/>
    </xf>
    <xf numFmtId="168" fontId="22" fillId="7" borderId="12" xfId="0" applyNumberFormat="1" applyFont="1" applyFill="1" applyBorder="1" applyAlignment="1">
      <alignment horizontal="center"/>
    </xf>
    <xf numFmtId="168" fontId="7" fillId="7" borderId="35" xfId="0" applyNumberFormat="1" applyFont="1" applyFill="1" applyBorder="1" applyAlignment="1">
      <alignment horizontal="center"/>
    </xf>
    <xf numFmtId="168" fontId="8" fillId="0" borderId="34" xfId="0" applyNumberFormat="1" applyFont="1" applyBorder="1" applyAlignment="1">
      <alignment horizontal="center"/>
    </xf>
    <xf numFmtId="168" fontId="23" fillId="0" borderId="25" xfId="0" applyNumberFormat="1" applyFont="1" applyFill="1" applyBorder="1" applyAlignment="1">
      <alignment horizontal="center"/>
    </xf>
    <xf numFmtId="168" fontId="23" fillId="0" borderId="34" xfId="0" applyNumberFormat="1" applyFont="1" applyFill="1" applyBorder="1" applyAlignment="1">
      <alignment horizontal="center"/>
    </xf>
    <xf numFmtId="167" fontId="22" fillId="7" borderId="35" xfId="0" applyNumberFormat="1" applyFont="1" applyFill="1" applyBorder="1" applyAlignment="1">
      <alignment horizontal="center"/>
    </xf>
    <xf numFmtId="168" fontId="7" fillId="7" borderId="52" xfId="0" applyNumberFormat="1" applyFont="1" applyFill="1" applyBorder="1" applyAlignment="1">
      <alignment horizontal="center"/>
    </xf>
    <xf numFmtId="167" fontId="23" fillId="0" borderId="44" xfId="0" applyNumberFormat="1" applyFont="1" applyFill="1" applyBorder="1" applyAlignment="1">
      <alignment horizontal="center"/>
    </xf>
    <xf numFmtId="167" fontId="8" fillId="0" borderId="52" xfId="0" applyNumberFormat="1" applyFont="1" applyBorder="1" applyAlignment="1">
      <alignment horizontal="center"/>
    </xf>
    <xf numFmtId="168" fontId="6" fillId="6" borderId="37" xfId="0" applyNumberFormat="1" applyFont="1" applyFill="1" applyBorder="1" applyAlignment="1">
      <alignment horizontal="center"/>
    </xf>
    <xf numFmtId="167" fontId="23" fillId="15" borderId="12" xfId="0" applyNumberFormat="1" applyFont="1" applyFill="1" applyBorder="1" applyAlignment="1">
      <alignment horizontal="center"/>
    </xf>
    <xf numFmtId="167" fontId="23" fillId="7" borderId="10" xfId="0" applyNumberFormat="1" applyFont="1" applyFill="1" applyBorder="1" applyAlignment="1">
      <alignment horizontal="center"/>
    </xf>
    <xf numFmtId="167" fontId="23" fillId="6" borderId="10" xfId="0" applyNumberFormat="1" applyFont="1" applyFill="1" applyBorder="1" applyAlignment="1">
      <alignment horizontal="center"/>
    </xf>
    <xf numFmtId="167" fontId="23" fillId="6" borderId="25" xfId="0" applyNumberFormat="1" applyFont="1" applyFill="1" applyBorder="1" applyAlignment="1">
      <alignment horizontal="center"/>
    </xf>
    <xf numFmtId="167" fontId="23" fillId="6" borderId="53" xfId="0" applyNumberFormat="1" applyFont="1" applyFill="1" applyBorder="1" applyAlignment="1">
      <alignment horizontal="center"/>
    </xf>
    <xf numFmtId="167" fontId="7" fillId="8" borderId="6" xfId="0" applyNumberFormat="1" applyFont="1" applyFill="1" applyBorder="1" applyAlignment="1">
      <alignment horizontal="center"/>
    </xf>
    <xf numFmtId="164" fontId="12" fillId="8" borderId="0" xfId="0" applyFont="1" applyFill="1" applyAlignment="1">
      <alignment/>
    </xf>
    <xf numFmtId="164" fontId="25" fillId="6" borderId="1" xfId="0" applyFont="1" applyFill="1" applyBorder="1" applyAlignment="1">
      <alignment horizontal="center"/>
    </xf>
    <xf numFmtId="164" fontId="26" fillId="6" borderId="56" xfId="0" applyFont="1" applyFill="1" applyBorder="1" applyAlignment="1">
      <alignment horizontal="center"/>
    </xf>
    <xf numFmtId="164" fontId="26" fillId="6" borderId="27" xfId="0" applyFont="1" applyFill="1" applyBorder="1" applyAlignment="1">
      <alignment horizontal="center"/>
    </xf>
    <xf numFmtId="164" fontId="27" fillId="0" borderId="12" xfId="0" applyFont="1" applyFill="1" applyBorder="1" applyAlignment="1">
      <alignment/>
    </xf>
    <xf numFmtId="164" fontId="27" fillId="0" borderId="44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28" fillId="5" borderId="57" xfId="0" applyFont="1" applyFill="1" applyBorder="1" applyAlignment="1">
      <alignment horizontal="center"/>
    </xf>
    <xf numFmtId="164" fontId="28" fillId="5" borderId="1" xfId="0" applyFont="1" applyFill="1" applyBorder="1" applyAlignment="1">
      <alignment horizontal="center"/>
    </xf>
    <xf numFmtId="164" fontId="28" fillId="5" borderId="58" xfId="0" applyFont="1" applyFill="1" applyBorder="1" applyAlignment="1">
      <alignment horizontal="center"/>
    </xf>
    <xf numFmtId="164" fontId="7" fillId="16" borderId="57" xfId="0" applyFont="1" applyFill="1" applyBorder="1" applyAlignment="1">
      <alignment horizontal="center"/>
    </xf>
    <xf numFmtId="166" fontId="8" fillId="16" borderId="58" xfId="0" applyNumberFormat="1" applyFont="1" applyFill="1" applyBorder="1" applyAlignment="1">
      <alignment horizontal="center"/>
    </xf>
    <xf numFmtId="164" fontId="29" fillId="16" borderId="58" xfId="0" applyFont="1" applyFill="1" applyBorder="1" applyAlignment="1">
      <alignment horizontal="center"/>
    </xf>
    <xf numFmtId="164" fontId="29" fillId="16" borderId="59" xfId="0" applyFont="1" applyFill="1" applyBorder="1" applyAlignment="1">
      <alignment horizontal="center"/>
    </xf>
    <xf numFmtId="164" fontId="7" fillId="17" borderId="57" xfId="0" applyFont="1" applyFill="1" applyBorder="1" applyAlignment="1">
      <alignment horizontal="center"/>
    </xf>
    <xf numFmtId="172" fontId="17" fillId="0" borderId="1" xfId="0" applyNumberFormat="1" applyFont="1" applyFill="1" applyBorder="1" applyAlignment="1">
      <alignment horizontal="center"/>
    </xf>
    <xf numFmtId="164" fontId="7" fillId="0" borderId="57" xfId="0" applyFont="1" applyFill="1" applyBorder="1" applyAlignment="1">
      <alignment horizontal="center"/>
    </xf>
    <xf numFmtId="169" fontId="7" fillId="0" borderId="1" xfId="0" applyNumberFormat="1" applyFont="1" applyFill="1" applyBorder="1" applyAlignment="1">
      <alignment horizontal="center"/>
    </xf>
    <xf numFmtId="172" fontId="17" fillId="16" borderId="58" xfId="0" applyNumberFormat="1" applyFont="1" applyFill="1" applyBorder="1" applyAlignment="1">
      <alignment horizontal="center"/>
    </xf>
    <xf numFmtId="164" fontId="7" fillId="0" borderId="60" xfId="0" applyFont="1" applyFill="1" applyBorder="1" applyAlignment="1">
      <alignment horizontal="center"/>
    </xf>
    <xf numFmtId="172" fontId="19" fillId="0" borderId="1" xfId="0" applyNumberFormat="1" applyFont="1" applyFill="1" applyBorder="1" applyAlignment="1">
      <alignment horizontal="center"/>
    </xf>
    <xf numFmtId="164" fontId="29" fillId="16" borderId="61" xfId="0" applyFont="1" applyFill="1" applyBorder="1" applyAlignment="1">
      <alignment horizontal="center"/>
    </xf>
    <xf numFmtId="164" fontId="7" fillId="0" borderId="58" xfId="0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2</xdr:col>
      <xdr:colOff>571500</xdr:colOff>
      <xdr:row>1</xdr:row>
      <xdr:rowOff>485775</xdr:rowOff>
    </xdr:to>
    <xdr:sp>
      <xdr:nvSpPr>
        <xdr:cNvPr id="1" name="WordArt 1"/>
        <xdr:cNvSpPr>
          <a:spLocks/>
        </xdr:cNvSpPr>
      </xdr:nvSpPr>
      <xdr:spPr>
        <a:xfrm>
          <a:off x="342900" y="0"/>
          <a:ext cx="382905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3600" b="1" i="0" u="sng" strike="sngStrike" baseline="0">
              <a:solidFill>
                <a:srgbClr val="FF9900"/>
              </a:solidFill>
            </a:rPr>
            <a:t>Libro de Records 2019</a:t>
          </a:r>
        </a:p>
      </xdr:txBody>
    </xdr:sp>
    <xdr:clientData/>
  </xdr:twoCellAnchor>
  <xdr:twoCellAnchor>
    <xdr:from>
      <xdr:col>3</xdr:col>
      <xdr:colOff>790575</xdr:colOff>
      <xdr:row>0</xdr:row>
      <xdr:rowOff>161925</xdr:rowOff>
    </xdr:from>
    <xdr:to>
      <xdr:col>4</xdr:col>
      <xdr:colOff>200025</xdr:colOff>
      <xdr:row>1</xdr:row>
      <xdr:rowOff>771525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61925"/>
          <a:ext cx="1352550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H829"/>
  <sheetViews>
    <sheetView tabSelected="1" zoomScale="90" zoomScaleNormal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11.421875" defaultRowHeight="12.75"/>
  <cols>
    <col min="1" max="1" width="4.140625" style="1" customWidth="1"/>
    <col min="2" max="2" width="32.28125" style="2" customWidth="1"/>
    <col min="3" max="3" width="15.7109375" style="3" customWidth="1"/>
    <col min="4" max="4" width="34.421875" style="0" customWidth="1"/>
    <col min="5" max="5" width="11.421875" style="4" customWidth="1"/>
    <col min="6" max="6" width="7.00390625" style="4" customWidth="1"/>
    <col min="7" max="7" width="7.7109375" style="4" customWidth="1"/>
    <col min="8" max="8" width="7.00390625" style="0" customWidth="1"/>
  </cols>
  <sheetData>
    <row r="2" spans="2:7" ht="12.75">
      <c r="B2" s="5" t="s">
        <v>0</v>
      </c>
      <c r="C2" s="5"/>
      <c r="D2" s="5"/>
      <c r="E2" s="5"/>
      <c r="F2" s="5"/>
      <c r="G2" s="5"/>
    </row>
    <row r="3" spans="2:7" ht="33.75" customHeight="1">
      <c r="B3" s="6">
        <v>43800</v>
      </c>
      <c r="C3" s="7"/>
      <c r="D3" s="8"/>
      <c r="E3" s="9"/>
      <c r="F3" s="9"/>
      <c r="G3" s="9"/>
    </row>
    <row r="4" spans="2:7" ht="12.75">
      <c r="B4" s="10" t="s">
        <v>1</v>
      </c>
      <c r="C4" s="11" t="s">
        <v>2</v>
      </c>
      <c r="D4" s="12" t="s">
        <v>3</v>
      </c>
      <c r="E4" s="12" t="s">
        <v>4</v>
      </c>
      <c r="F4" s="12" t="s">
        <v>5</v>
      </c>
      <c r="G4" s="13" t="s">
        <v>6</v>
      </c>
    </row>
    <row r="5" spans="2:7" ht="12.75">
      <c r="B5" s="14" t="s">
        <v>7</v>
      </c>
      <c r="C5" s="15">
        <v>43533</v>
      </c>
      <c r="D5" s="16" t="s">
        <v>8</v>
      </c>
      <c r="E5" s="17">
        <v>43</v>
      </c>
      <c r="F5" s="18" t="s">
        <v>9</v>
      </c>
      <c r="G5" s="19">
        <v>7</v>
      </c>
    </row>
    <row r="6" spans="2:7" ht="12.75">
      <c r="B6" s="20" t="s">
        <v>10</v>
      </c>
      <c r="C6" s="21"/>
      <c r="D6" s="22" t="s">
        <v>11</v>
      </c>
      <c r="E6" s="23">
        <v>39</v>
      </c>
      <c r="F6" s="24" t="s">
        <v>12</v>
      </c>
      <c r="G6" s="25"/>
    </row>
    <row r="7" spans="2:7" ht="12.75">
      <c r="B7" s="20"/>
      <c r="C7" s="21"/>
      <c r="D7" s="22" t="s">
        <v>13</v>
      </c>
      <c r="E7" s="23">
        <v>33</v>
      </c>
      <c r="F7" s="24" t="s">
        <v>14</v>
      </c>
      <c r="G7" s="25"/>
    </row>
    <row r="8" spans="2:7" ht="12.75">
      <c r="B8" s="20"/>
      <c r="C8" s="21"/>
      <c r="D8" s="22" t="s">
        <v>15</v>
      </c>
      <c r="E8" s="23">
        <v>29</v>
      </c>
      <c r="F8" s="26" t="s">
        <v>16</v>
      </c>
      <c r="G8" s="25"/>
    </row>
    <row r="9" spans="2:7" ht="12.75">
      <c r="B9" s="20"/>
      <c r="C9" s="21"/>
      <c r="D9" s="22" t="s">
        <v>17</v>
      </c>
      <c r="E9" s="23">
        <v>24</v>
      </c>
      <c r="F9" s="26" t="s">
        <v>18</v>
      </c>
      <c r="G9" s="25"/>
    </row>
    <row r="10" spans="2:7" ht="12.75">
      <c r="B10" s="20"/>
      <c r="C10" s="21"/>
      <c r="D10" s="22" t="s">
        <v>19</v>
      </c>
      <c r="E10" s="23">
        <v>23</v>
      </c>
      <c r="F10" s="26" t="s">
        <v>20</v>
      </c>
      <c r="G10" s="25"/>
    </row>
    <row r="11" spans="2:7" ht="12.75">
      <c r="B11" s="27"/>
      <c r="C11" s="28"/>
      <c r="D11" s="29" t="s">
        <v>21</v>
      </c>
      <c r="E11" s="30">
        <v>5</v>
      </c>
      <c r="F11" s="31" t="s">
        <v>22</v>
      </c>
      <c r="G11" s="32"/>
    </row>
    <row r="12" spans="2:7" ht="12.75">
      <c r="B12" s="14" t="s">
        <v>7</v>
      </c>
      <c r="C12" s="15">
        <v>43533</v>
      </c>
      <c r="D12" s="16" t="s">
        <v>23</v>
      </c>
      <c r="E12" s="17">
        <v>44</v>
      </c>
      <c r="F12" s="18" t="s">
        <v>9</v>
      </c>
      <c r="G12" s="19">
        <v>6</v>
      </c>
    </row>
    <row r="13" spans="2:7" ht="12.75">
      <c r="B13" s="20" t="s">
        <v>24</v>
      </c>
      <c r="C13" s="21"/>
      <c r="D13" s="22" t="s">
        <v>19</v>
      </c>
      <c r="E13" s="23">
        <v>41</v>
      </c>
      <c r="F13" s="24" t="s">
        <v>12</v>
      </c>
      <c r="G13" s="25"/>
    </row>
    <row r="14" spans="2:7" ht="12.75">
      <c r="B14" s="20"/>
      <c r="C14" s="21"/>
      <c r="D14" s="22" t="s">
        <v>25</v>
      </c>
      <c r="E14" s="23">
        <v>37</v>
      </c>
      <c r="F14" s="24" t="s">
        <v>14</v>
      </c>
      <c r="G14" s="25"/>
    </row>
    <row r="15" spans="2:7" ht="12.75">
      <c r="B15" s="20"/>
      <c r="C15" s="21"/>
      <c r="D15" s="22" t="s">
        <v>15</v>
      </c>
      <c r="E15" s="23">
        <v>36</v>
      </c>
      <c r="F15" s="26" t="s">
        <v>16</v>
      </c>
      <c r="G15" s="25"/>
    </row>
    <row r="16" spans="2:7" ht="12.75">
      <c r="B16" s="20"/>
      <c r="C16" s="21"/>
      <c r="D16" s="22" t="s">
        <v>11</v>
      </c>
      <c r="E16" s="23">
        <v>32</v>
      </c>
      <c r="F16" s="26" t="s">
        <v>18</v>
      </c>
      <c r="G16" s="25"/>
    </row>
    <row r="17" spans="2:7" ht="12.75">
      <c r="B17" s="27"/>
      <c r="C17" s="28"/>
      <c r="D17" s="29" t="s">
        <v>26</v>
      </c>
      <c r="E17" s="30">
        <v>24</v>
      </c>
      <c r="F17" s="31" t="s">
        <v>20</v>
      </c>
      <c r="G17" s="32"/>
    </row>
    <row r="18" spans="2:7" ht="12.75">
      <c r="B18" s="10" t="s">
        <v>1</v>
      </c>
      <c r="C18" s="11" t="s">
        <v>2</v>
      </c>
      <c r="D18" s="12" t="s">
        <v>3</v>
      </c>
      <c r="E18" s="12" t="s">
        <v>4</v>
      </c>
      <c r="F18" s="12" t="s">
        <v>5</v>
      </c>
      <c r="G18" s="13" t="s">
        <v>6</v>
      </c>
    </row>
    <row r="19" spans="2:7" ht="12.75">
      <c r="B19" s="14" t="s">
        <v>27</v>
      </c>
      <c r="C19" s="15">
        <v>43534</v>
      </c>
      <c r="D19" s="16" t="s">
        <v>28</v>
      </c>
      <c r="E19" s="17">
        <v>290</v>
      </c>
      <c r="F19" s="18" t="s">
        <v>9</v>
      </c>
      <c r="G19" s="19">
        <v>4</v>
      </c>
    </row>
    <row r="20" spans="2:7" ht="12.75">
      <c r="B20" s="20" t="s">
        <v>29</v>
      </c>
      <c r="C20" s="21"/>
      <c r="D20" s="22" t="s">
        <v>30</v>
      </c>
      <c r="E20" s="23">
        <v>261</v>
      </c>
      <c r="F20" s="24" t="s">
        <v>12</v>
      </c>
      <c r="G20" s="25"/>
    </row>
    <row r="21" spans="2:7" ht="12.75">
      <c r="B21" s="20"/>
      <c r="C21" s="21"/>
      <c r="D21" s="22" t="s">
        <v>31</v>
      </c>
      <c r="E21" s="23">
        <v>235</v>
      </c>
      <c r="F21" s="33" t="s">
        <v>14</v>
      </c>
      <c r="G21" s="25"/>
    </row>
    <row r="22" spans="2:7" ht="12.75">
      <c r="B22" s="27"/>
      <c r="C22" s="28"/>
      <c r="D22" s="29" t="s">
        <v>19</v>
      </c>
      <c r="E22" s="30">
        <v>170</v>
      </c>
      <c r="F22" s="31" t="s">
        <v>16</v>
      </c>
      <c r="G22" s="32"/>
    </row>
    <row r="23" spans="2:7" ht="12.75">
      <c r="B23" s="14" t="s">
        <v>27</v>
      </c>
      <c r="C23" s="15">
        <v>43534</v>
      </c>
      <c r="D23" s="16" t="s">
        <v>32</v>
      </c>
      <c r="E23" s="17">
        <v>257</v>
      </c>
      <c r="F23" s="18" t="s">
        <v>9</v>
      </c>
      <c r="G23" s="19">
        <v>1</v>
      </c>
    </row>
    <row r="24" spans="2:7" ht="12.75">
      <c r="B24" s="20" t="s">
        <v>29</v>
      </c>
      <c r="C24" s="21"/>
      <c r="D24" s="22"/>
      <c r="E24" s="23"/>
      <c r="F24" s="33"/>
      <c r="G24" s="25"/>
    </row>
    <row r="25" spans="2:7" ht="12.75">
      <c r="B25" s="20" t="s">
        <v>33</v>
      </c>
      <c r="C25" s="21"/>
      <c r="D25" s="22"/>
      <c r="E25" s="23"/>
      <c r="F25" s="33"/>
      <c r="G25" s="25"/>
    </row>
    <row r="26" spans="2:7" ht="12.75">
      <c r="B26" s="14" t="s">
        <v>27</v>
      </c>
      <c r="C26" s="15">
        <v>43534</v>
      </c>
      <c r="D26" s="16" t="s">
        <v>34</v>
      </c>
      <c r="E26" s="17">
        <v>307</v>
      </c>
      <c r="F26" s="18" t="s">
        <v>9</v>
      </c>
      <c r="G26" s="19">
        <v>2</v>
      </c>
    </row>
    <row r="27" spans="2:7" ht="12.75">
      <c r="B27" s="27" t="s">
        <v>35</v>
      </c>
      <c r="C27" s="28"/>
      <c r="D27" s="29" t="s">
        <v>36</v>
      </c>
      <c r="E27" s="30">
        <v>258</v>
      </c>
      <c r="F27" s="31" t="s">
        <v>12</v>
      </c>
      <c r="G27" s="32"/>
    </row>
    <row r="28" spans="2:7" ht="12.75">
      <c r="B28" s="10" t="s">
        <v>1</v>
      </c>
      <c r="C28" s="11" t="s">
        <v>2</v>
      </c>
      <c r="D28" s="12" t="s">
        <v>3</v>
      </c>
      <c r="E28" s="12" t="s">
        <v>4</v>
      </c>
      <c r="F28" s="12" t="s">
        <v>5</v>
      </c>
      <c r="G28" s="13" t="s">
        <v>6</v>
      </c>
    </row>
    <row r="29" spans="2:8" ht="12.75">
      <c r="B29" s="14" t="s">
        <v>37</v>
      </c>
      <c r="C29" s="15">
        <v>43541</v>
      </c>
      <c r="D29" s="16" t="s">
        <v>38</v>
      </c>
      <c r="E29" s="34">
        <v>100</v>
      </c>
      <c r="F29" s="18" t="s">
        <v>9</v>
      </c>
      <c r="G29" s="19">
        <v>6</v>
      </c>
      <c r="H29" s="35">
        <v>45.11</v>
      </c>
    </row>
    <row r="30" spans="2:8" ht="12.75">
      <c r="B30" s="20" t="s">
        <v>39</v>
      </c>
      <c r="C30" s="21"/>
      <c r="D30" s="22" t="s">
        <v>40</v>
      </c>
      <c r="E30" s="36">
        <v>81.45</v>
      </c>
      <c r="F30" s="24" t="s">
        <v>12</v>
      </c>
      <c r="G30" s="25"/>
      <c r="H30" s="37">
        <v>55.38</v>
      </c>
    </row>
    <row r="31" spans="2:8" ht="12.75">
      <c r="B31" s="20"/>
      <c r="C31" s="21"/>
      <c r="D31" s="22" t="s">
        <v>31</v>
      </c>
      <c r="E31" s="36">
        <v>81.45</v>
      </c>
      <c r="F31" s="24" t="s">
        <v>14</v>
      </c>
      <c r="G31" s="25"/>
      <c r="H31" s="37">
        <v>55.38</v>
      </c>
    </row>
    <row r="32" spans="2:8" ht="12.75">
      <c r="B32" s="20"/>
      <c r="C32" s="21"/>
      <c r="D32" s="22" t="s">
        <v>41</v>
      </c>
      <c r="E32" s="36">
        <v>78.05</v>
      </c>
      <c r="F32" s="26" t="s">
        <v>16</v>
      </c>
      <c r="G32" s="25"/>
      <c r="H32" s="37">
        <v>57.79</v>
      </c>
    </row>
    <row r="33" spans="2:8" ht="12.75">
      <c r="B33" s="20"/>
      <c r="C33" s="21"/>
      <c r="D33" s="22" t="s">
        <v>42</v>
      </c>
      <c r="E33" s="36">
        <v>75.17</v>
      </c>
      <c r="F33" s="26" t="s">
        <v>18</v>
      </c>
      <c r="G33" s="25"/>
      <c r="H33" s="37">
        <v>60.01</v>
      </c>
    </row>
    <row r="34" spans="2:8" ht="12.75">
      <c r="B34" s="20"/>
      <c r="C34" s="21"/>
      <c r="D34" s="22" t="s">
        <v>43</v>
      </c>
      <c r="E34" s="36">
        <v>47.02</v>
      </c>
      <c r="F34" s="26" t="s">
        <v>20</v>
      </c>
      <c r="G34" s="25"/>
      <c r="H34" s="37">
        <v>95.92</v>
      </c>
    </row>
    <row r="35" spans="2:8" ht="12.75">
      <c r="B35" s="14" t="s">
        <v>37</v>
      </c>
      <c r="C35" s="15">
        <v>43541</v>
      </c>
      <c r="D35" s="16" t="s">
        <v>44</v>
      </c>
      <c r="E35" s="34">
        <v>100</v>
      </c>
      <c r="F35" s="18" t="s">
        <v>9</v>
      </c>
      <c r="G35" s="19">
        <v>9</v>
      </c>
      <c r="H35" s="35">
        <v>54.02</v>
      </c>
    </row>
    <row r="36" spans="2:8" ht="12.75">
      <c r="B36" s="20" t="s">
        <v>45</v>
      </c>
      <c r="C36" s="21"/>
      <c r="D36" s="22" t="s">
        <v>8</v>
      </c>
      <c r="E36" s="36">
        <v>94.94</v>
      </c>
      <c r="F36" s="24" t="s">
        <v>12</v>
      </c>
      <c r="G36" s="25"/>
      <c r="H36" s="37">
        <v>56.9</v>
      </c>
    </row>
    <row r="37" spans="2:8" ht="12.75">
      <c r="B37" s="20"/>
      <c r="C37" s="21"/>
      <c r="D37" s="22" t="s">
        <v>46</v>
      </c>
      <c r="E37" s="36">
        <v>85.58</v>
      </c>
      <c r="F37" s="24" t="s">
        <v>14</v>
      </c>
      <c r="G37" s="25"/>
      <c r="H37" s="37">
        <v>63.12</v>
      </c>
    </row>
    <row r="38" spans="2:8" ht="12.75">
      <c r="B38" s="20"/>
      <c r="C38" s="21"/>
      <c r="D38" s="22" t="s">
        <v>47</v>
      </c>
      <c r="E38" s="36">
        <v>71.57</v>
      </c>
      <c r="F38" s="26" t="s">
        <v>16</v>
      </c>
      <c r="G38" s="25"/>
      <c r="H38" s="37">
        <v>75.48</v>
      </c>
    </row>
    <row r="39" spans="2:8" ht="12.75">
      <c r="B39" s="20"/>
      <c r="C39" s="21"/>
      <c r="D39" s="22" t="s">
        <v>48</v>
      </c>
      <c r="E39" s="36">
        <v>49.18</v>
      </c>
      <c r="F39" s="26" t="s">
        <v>18</v>
      </c>
      <c r="G39" s="25"/>
      <c r="H39" s="37">
        <v>109.83</v>
      </c>
    </row>
    <row r="40" spans="2:8" ht="12.75">
      <c r="B40" s="20"/>
      <c r="C40" s="21"/>
      <c r="D40" s="22" t="s">
        <v>49</v>
      </c>
      <c r="E40" s="36">
        <v>43.63</v>
      </c>
      <c r="F40" s="26" t="s">
        <v>20</v>
      </c>
      <c r="G40" s="25"/>
      <c r="H40" s="37">
        <v>123.82</v>
      </c>
    </row>
    <row r="41" spans="2:8" ht="12.75">
      <c r="B41" s="20"/>
      <c r="C41" s="21"/>
      <c r="D41" s="22" t="s">
        <v>21</v>
      </c>
      <c r="E41" s="36">
        <v>39.32</v>
      </c>
      <c r="F41" s="26" t="s">
        <v>22</v>
      </c>
      <c r="G41" s="25"/>
      <c r="H41" s="37">
        <v>137.37</v>
      </c>
    </row>
    <row r="42" spans="2:8" ht="12.75">
      <c r="B42" s="20"/>
      <c r="C42" s="21"/>
      <c r="D42" s="22" t="s">
        <v>19</v>
      </c>
      <c r="E42" s="36">
        <v>37.64</v>
      </c>
      <c r="F42" s="26" t="s">
        <v>50</v>
      </c>
      <c r="G42" s="25"/>
      <c r="H42" s="37">
        <v>143.52</v>
      </c>
    </row>
    <row r="43" spans="2:8" ht="12.75">
      <c r="B43" s="27"/>
      <c r="C43" s="28"/>
      <c r="D43" s="29" t="s">
        <v>11</v>
      </c>
      <c r="E43" s="38">
        <v>26.18</v>
      </c>
      <c r="F43" s="31" t="s">
        <v>51</v>
      </c>
      <c r="G43" s="32"/>
      <c r="H43" s="39">
        <v>206.33</v>
      </c>
    </row>
    <row r="44" spans="2:8" ht="12.75">
      <c r="B44" s="14" t="s">
        <v>37</v>
      </c>
      <c r="C44" s="15">
        <v>43541</v>
      </c>
      <c r="D44" s="16" t="s">
        <v>52</v>
      </c>
      <c r="E44" s="34">
        <v>33.06</v>
      </c>
      <c r="F44" s="18" t="s">
        <v>9</v>
      </c>
      <c r="G44" s="19">
        <v>2</v>
      </c>
      <c r="H44" s="35">
        <v>163.4</v>
      </c>
    </row>
    <row r="45" spans="2:8" ht="12.75">
      <c r="B45" s="27" t="s">
        <v>53</v>
      </c>
      <c r="C45" s="28"/>
      <c r="D45" s="29" t="s">
        <v>54</v>
      </c>
      <c r="E45" s="38">
        <v>32.83</v>
      </c>
      <c r="F45" s="31" t="s">
        <v>12</v>
      </c>
      <c r="G45" s="32"/>
      <c r="H45" s="39">
        <v>164.55</v>
      </c>
    </row>
    <row r="46" spans="2:7" ht="12.75">
      <c r="B46" s="10" t="s">
        <v>1</v>
      </c>
      <c r="C46" s="11" t="s">
        <v>2</v>
      </c>
      <c r="D46" s="12" t="s">
        <v>3</v>
      </c>
      <c r="E46" s="12" t="s">
        <v>4</v>
      </c>
      <c r="F46" s="12" t="s">
        <v>5</v>
      </c>
      <c r="G46" s="13" t="s">
        <v>6</v>
      </c>
    </row>
    <row r="47" spans="2:7" ht="12.75">
      <c r="B47" s="14" t="s">
        <v>55</v>
      </c>
      <c r="C47" s="15">
        <v>43547</v>
      </c>
      <c r="D47" s="16" t="s">
        <v>41</v>
      </c>
      <c r="E47" s="17">
        <v>94</v>
      </c>
      <c r="F47" s="18" t="s">
        <v>9</v>
      </c>
      <c r="G47" s="19">
        <v>4</v>
      </c>
    </row>
    <row r="48" spans="2:7" ht="12.75">
      <c r="B48" s="20" t="s">
        <v>56</v>
      </c>
      <c r="C48" s="21"/>
      <c r="D48" s="22" t="s">
        <v>57</v>
      </c>
      <c r="E48" s="23">
        <v>93</v>
      </c>
      <c r="F48" s="33" t="s">
        <v>12</v>
      </c>
      <c r="G48" s="25"/>
    </row>
    <row r="49" spans="2:7" ht="12.75">
      <c r="B49" s="20"/>
      <c r="C49" s="21"/>
      <c r="D49" s="22" t="s">
        <v>46</v>
      </c>
      <c r="E49" s="23">
        <v>75</v>
      </c>
      <c r="F49" s="33" t="s">
        <v>14</v>
      </c>
      <c r="G49" s="25"/>
    </row>
    <row r="50" spans="2:7" ht="12.75">
      <c r="B50" s="20"/>
      <c r="C50" s="21"/>
      <c r="D50" s="22" t="s">
        <v>31</v>
      </c>
      <c r="E50" s="23">
        <v>73</v>
      </c>
      <c r="F50" s="33" t="s">
        <v>16</v>
      </c>
      <c r="G50" s="25"/>
    </row>
    <row r="51" spans="2:7" ht="12.75">
      <c r="B51" s="14" t="s">
        <v>55</v>
      </c>
      <c r="C51" s="15">
        <v>43547</v>
      </c>
      <c r="D51" s="16" t="s">
        <v>58</v>
      </c>
      <c r="E51" s="17">
        <v>59</v>
      </c>
      <c r="F51" s="18" t="s">
        <v>9</v>
      </c>
      <c r="G51" s="19">
        <v>2</v>
      </c>
    </row>
    <row r="52" spans="2:7" ht="12.75">
      <c r="B52" s="20" t="s">
        <v>59</v>
      </c>
      <c r="C52" s="21"/>
      <c r="D52" s="22" t="s">
        <v>19</v>
      </c>
      <c r="E52" s="23">
        <v>29</v>
      </c>
      <c r="F52" s="33" t="s">
        <v>12</v>
      </c>
      <c r="G52" s="25"/>
    </row>
    <row r="53" spans="2:7" ht="12.75">
      <c r="B53" s="10" t="s">
        <v>1</v>
      </c>
      <c r="C53" s="11" t="s">
        <v>2</v>
      </c>
      <c r="D53" s="12" t="s">
        <v>3</v>
      </c>
      <c r="E53" s="12" t="s">
        <v>4</v>
      </c>
      <c r="F53" s="12" t="s">
        <v>5</v>
      </c>
      <c r="G53" s="13" t="s">
        <v>6</v>
      </c>
    </row>
    <row r="54" spans="2:7" ht="12.75">
      <c r="B54" s="14" t="s">
        <v>60</v>
      </c>
      <c r="C54" s="15">
        <v>43547</v>
      </c>
      <c r="D54" s="16" t="s">
        <v>41</v>
      </c>
      <c r="E54" s="17">
        <v>91</v>
      </c>
      <c r="F54" s="18" t="s">
        <v>9</v>
      </c>
      <c r="G54" s="19">
        <v>7</v>
      </c>
    </row>
    <row r="55" spans="2:7" ht="12.75">
      <c r="B55" s="20" t="s">
        <v>56</v>
      </c>
      <c r="C55" s="21"/>
      <c r="D55" s="40" t="s">
        <v>38</v>
      </c>
      <c r="E55" s="41">
        <v>88</v>
      </c>
      <c r="F55" s="24" t="s">
        <v>12</v>
      </c>
      <c r="G55" s="25"/>
    </row>
    <row r="56" spans="2:7" ht="12.75">
      <c r="B56" s="20"/>
      <c r="C56" s="21"/>
      <c r="D56" s="22" t="s">
        <v>31</v>
      </c>
      <c r="E56" s="42">
        <v>87</v>
      </c>
      <c r="F56" s="24" t="s">
        <v>14</v>
      </c>
      <c r="G56" s="25"/>
    </row>
    <row r="57" spans="2:7" ht="12.75">
      <c r="B57" s="20"/>
      <c r="C57" s="21"/>
      <c r="D57" s="22" t="s">
        <v>46</v>
      </c>
      <c r="E57" s="42">
        <v>71</v>
      </c>
      <c r="F57" s="33" t="s">
        <v>16</v>
      </c>
      <c r="G57" s="25"/>
    </row>
    <row r="58" spans="2:7" ht="12.75">
      <c r="B58" s="20"/>
      <c r="C58" s="21"/>
      <c r="D58" s="22" t="s">
        <v>57</v>
      </c>
      <c r="E58" s="42">
        <v>65</v>
      </c>
      <c r="F58" s="33" t="s">
        <v>18</v>
      </c>
      <c r="G58" s="25"/>
    </row>
    <row r="59" spans="2:7" ht="12.75">
      <c r="B59" s="20"/>
      <c r="C59" s="21"/>
      <c r="D59" s="22" t="s">
        <v>19</v>
      </c>
      <c r="E59" s="42">
        <v>59</v>
      </c>
      <c r="F59" s="33" t="s">
        <v>20</v>
      </c>
      <c r="G59" s="25"/>
    </row>
    <row r="60" spans="2:7" ht="12.75">
      <c r="B60" s="20"/>
      <c r="C60" s="21"/>
      <c r="D60" s="22" t="s">
        <v>43</v>
      </c>
      <c r="E60" s="42">
        <v>53</v>
      </c>
      <c r="F60" s="33" t="s">
        <v>22</v>
      </c>
      <c r="G60" s="25"/>
    </row>
    <row r="61" spans="2:7" ht="12.75">
      <c r="B61" s="14" t="s">
        <v>60</v>
      </c>
      <c r="C61" s="15">
        <v>43547</v>
      </c>
      <c r="D61" s="16" t="s">
        <v>58</v>
      </c>
      <c r="E61" s="17">
        <v>60</v>
      </c>
      <c r="F61" s="18" t="s">
        <v>9</v>
      </c>
      <c r="G61" s="19">
        <v>3</v>
      </c>
    </row>
    <row r="62" spans="2:7" ht="12.75">
      <c r="B62" s="20" t="s">
        <v>59</v>
      </c>
      <c r="C62" s="21"/>
      <c r="D62" s="40" t="s">
        <v>21</v>
      </c>
      <c r="E62" s="41">
        <v>40</v>
      </c>
      <c r="F62" s="33" t="s">
        <v>12</v>
      </c>
      <c r="G62" s="25"/>
    </row>
    <row r="63" spans="2:7" ht="12.75">
      <c r="B63" s="20"/>
      <c r="C63" s="21"/>
      <c r="D63" s="22" t="s">
        <v>11</v>
      </c>
      <c r="E63" s="42">
        <v>26</v>
      </c>
      <c r="F63" s="33" t="s">
        <v>14</v>
      </c>
      <c r="G63" s="25"/>
    </row>
    <row r="64" spans="2:7" ht="12.75">
      <c r="B64" s="14" t="s">
        <v>60</v>
      </c>
      <c r="C64" s="15">
        <v>43547</v>
      </c>
      <c r="D64" s="16" t="s">
        <v>61</v>
      </c>
      <c r="E64" s="17">
        <v>48</v>
      </c>
      <c r="F64" s="18" t="s">
        <v>9</v>
      </c>
      <c r="G64" s="19">
        <v>1</v>
      </c>
    </row>
    <row r="65" spans="2:7" ht="12.75">
      <c r="B65" s="27" t="s">
        <v>62</v>
      </c>
      <c r="C65" s="28"/>
      <c r="D65" s="43"/>
      <c r="E65" s="44"/>
      <c r="F65" s="31"/>
      <c r="G65" s="32"/>
    </row>
    <row r="66" spans="2:7" ht="12.75">
      <c r="B66" s="10" t="s">
        <v>1</v>
      </c>
      <c r="C66" s="11" t="s">
        <v>2</v>
      </c>
      <c r="D66" s="12" t="s">
        <v>3</v>
      </c>
      <c r="E66" s="12" t="s">
        <v>4</v>
      </c>
      <c r="F66" s="12" t="s">
        <v>5</v>
      </c>
      <c r="G66" s="13" t="s">
        <v>6</v>
      </c>
    </row>
    <row r="67" spans="2:7" ht="12.75">
      <c r="B67" s="14" t="s">
        <v>63</v>
      </c>
      <c r="C67" s="15">
        <v>43548</v>
      </c>
      <c r="D67" s="16" t="s">
        <v>64</v>
      </c>
      <c r="E67" s="17">
        <v>197</v>
      </c>
      <c r="F67" s="18" t="s">
        <v>9</v>
      </c>
      <c r="G67" s="19">
        <v>10</v>
      </c>
    </row>
    <row r="68" spans="2:7" ht="12.75">
      <c r="B68" s="20" t="s">
        <v>56</v>
      </c>
      <c r="C68" s="21"/>
      <c r="D68" s="40" t="s">
        <v>65</v>
      </c>
      <c r="E68" s="41">
        <v>195</v>
      </c>
      <c r="F68" s="24" t="s">
        <v>12</v>
      </c>
      <c r="G68" s="25"/>
    </row>
    <row r="69" spans="2:7" ht="12.75">
      <c r="B69" s="20"/>
      <c r="C69" s="21"/>
      <c r="D69" s="22" t="s">
        <v>11</v>
      </c>
      <c r="E69" s="42">
        <v>187</v>
      </c>
      <c r="F69" s="24" t="s">
        <v>14</v>
      </c>
      <c r="G69" s="25"/>
    </row>
    <row r="70" spans="2:7" ht="12.75">
      <c r="B70" s="20"/>
      <c r="C70" s="21"/>
      <c r="D70" s="22" t="s">
        <v>19</v>
      </c>
      <c r="E70" s="42">
        <v>186</v>
      </c>
      <c r="F70" s="33" t="s">
        <v>16</v>
      </c>
      <c r="G70" s="25"/>
    </row>
    <row r="71" spans="2:7" ht="12.75">
      <c r="B71" s="20"/>
      <c r="C71" s="21"/>
      <c r="D71" s="22" t="s">
        <v>57</v>
      </c>
      <c r="E71" s="42">
        <v>185</v>
      </c>
      <c r="F71" s="33" t="s">
        <v>18</v>
      </c>
      <c r="G71" s="25"/>
    </row>
    <row r="72" spans="2:7" ht="12.75">
      <c r="B72" s="20"/>
      <c r="C72" s="21"/>
      <c r="D72" s="22" t="s">
        <v>66</v>
      </c>
      <c r="E72" s="42">
        <v>185</v>
      </c>
      <c r="F72" s="33" t="s">
        <v>18</v>
      </c>
      <c r="G72" s="25"/>
    </row>
    <row r="73" spans="2:7" ht="12.75">
      <c r="B73" s="20"/>
      <c r="C73" s="21"/>
      <c r="D73" s="22" t="s">
        <v>41</v>
      </c>
      <c r="E73" s="42">
        <v>177</v>
      </c>
      <c r="F73" s="33" t="s">
        <v>22</v>
      </c>
      <c r="G73" s="25"/>
    </row>
    <row r="74" spans="2:7" ht="12.75">
      <c r="B74" s="20"/>
      <c r="C74" s="21"/>
      <c r="D74" s="22" t="s">
        <v>15</v>
      </c>
      <c r="E74" s="42">
        <v>171</v>
      </c>
      <c r="F74" s="33" t="s">
        <v>50</v>
      </c>
      <c r="G74" s="25"/>
    </row>
    <row r="75" spans="2:7" ht="12.75">
      <c r="B75" s="20"/>
      <c r="C75" s="21"/>
      <c r="D75" s="22" t="s">
        <v>47</v>
      </c>
      <c r="E75" s="42">
        <v>167</v>
      </c>
      <c r="F75" s="33" t="s">
        <v>51</v>
      </c>
      <c r="G75" s="25"/>
    </row>
    <row r="76" spans="2:7" ht="12.75">
      <c r="B76" s="20"/>
      <c r="C76" s="45"/>
      <c r="D76" s="22" t="s">
        <v>31</v>
      </c>
      <c r="E76" s="42">
        <v>139</v>
      </c>
      <c r="F76" s="33" t="s">
        <v>67</v>
      </c>
      <c r="G76" s="25"/>
    </row>
    <row r="77" spans="2:7" ht="12.75">
      <c r="B77" s="14" t="s">
        <v>63</v>
      </c>
      <c r="C77" s="15">
        <v>43548</v>
      </c>
      <c r="D77" s="16" t="s">
        <v>68</v>
      </c>
      <c r="E77" s="17">
        <v>161</v>
      </c>
      <c r="F77" s="18" t="s">
        <v>9</v>
      </c>
      <c r="G77" s="19">
        <v>2</v>
      </c>
    </row>
    <row r="78" spans="2:7" ht="12.75">
      <c r="B78" s="20" t="s">
        <v>59</v>
      </c>
      <c r="C78" s="21"/>
      <c r="D78" s="22" t="s">
        <v>69</v>
      </c>
      <c r="E78" s="23">
        <v>73</v>
      </c>
      <c r="F78" s="33" t="s">
        <v>12</v>
      </c>
      <c r="G78" s="25"/>
    </row>
    <row r="79" spans="2:7" ht="12.75">
      <c r="B79" s="14" t="s">
        <v>63</v>
      </c>
      <c r="C79" s="15">
        <v>43548</v>
      </c>
      <c r="D79" s="16" t="s">
        <v>70</v>
      </c>
      <c r="E79" s="17">
        <v>189</v>
      </c>
      <c r="F79" s="18" t="s">
        <v>9</v>
      </c>
      <c r="G79" s="19">
        <v>2</v>
      </c>
    </row>
    <row r="80" spans="2:7" ht="12.75">
      <c r="B80" s="27" t="s">
        <v>71</v>
      </c>
      <c r="C80" s="28"/>
      <c r="D80" s="29" t="s">
        <v>72</v>
      </c>
      <c r="E80" s="30">
        <v>177</v>
      </c>
      <c r="F80" s="31" t="s">
        <v>12</v>
      </c>
      <c r="G80" s="32"/>
    </row>
    <row r="81" spans="2:7" ht="12.75">
      <c r="B81" s="10" t="s">
        <v>1</v>
      </c>
      <c r="C81" s="11" t="s">
        <v>2</v>
      </c>
      <c r="D81" s="12" t="s">
        <v>3</v>
      </c>
      <c r="E81" s="12" t="s">
        <v>4</v>
      </c>
      <c r="F81" s="12" t="s">
        <v>5</v>
      </c>
      <c r="G81" s="13" t="s">
        <v>6</v>
      </c>
    </row>
    <row r="82" spans="2:7" ht="12.75">
      <c r="B82" s="14" t="s">
        <v>73</v>
      </c>
      <c r="C82" s="15">
        <v>43555</v>
      </c>
      <c r="D82" s="16" t="s">
        <v>57</v>
      </c>
      <c r="E82" s="17">
        <v>161</v>
      </c>
      <c r="F82" s="18" t="s">
        <v>9</v>
      </c>
      <c r="G82" s="19">
        <v>12</v>
      </c>
    </row>
    <row r="83" spans="2:7" ht="12.75">
      <c r="B83" s="20"/>
      <c r="C83" s="21"/>
      <c r="D83" s="40" t="s">
        <v>41</v>
      </c>
      <c r="E83" s="41">
        <v>158</v>
      </c>
      <c r="F83" s="24" t="s">
        <v>12</v>
      </c>
      <c r="G83" s="25"/>
    </row>
    <row r="84" spans="2:7" ht="12.75">
      <c r="B84" s="20"/>
      <c r="C84" s="21"/>
      <c r="D84" s="22" t="s">
        <v>43</v>
      </c>
      <c r="E84" s="42">
        <v>149</v>
      </c>
      <c r="F84" s="24" t="s">
        <v>14</v>
      </c>
      <c r="G84" s="25"/>
    </row>
    <row r="85" spans="2:7" ht="12.75">
      <c r="B85" s="20"/>
      <c r="C85" s="21"/>
      <c r="D85" s="22" t="s">
        <v>31</v>
      </c>
      <c r="E85" s="42">
        <v>148</v>
      </c>
      <c r="F85" s="33" t="s">
        <v>16</v>
      </c>
      <c r="G85" s="25"/>
    </row>
    <row r="86" spans="2:7" ht="12.75">
      <c r="B86" s="20"/>
      <c r="C86" s="21"/>
      <c r="D86" s="22" t="s">
        <v>19</v>
      </c>
      <c r="E86" s="42">
        <v>137</v>
      </c>
      <c r="F86" s="33" t="s">
        <v>18</v>
      </c>
      <c r="G86" s="25"/>
    </row>
    <row r="87" spans="2:7" ht="12.75">
      <c r="B87" s="20"/>
      <c r="C87" s="21"/>
      <c r="D87" s="22" t="s">
        <v>74</v>
      </c>
      <c r="E87" s="42">
        <v>94</v>
      </c>
      <c r="F87" s="33" t="s">
        <v>20</v>
      </c>
      <c r="G87" s="25"/>
    </row>
    <row r="88" spans="2:7" ht="12.75">
      <c r="B88" s="20"/>
      <c r="C88" s="21"/>
      <c r="D88" s="22" t="s">
        <v>46</v>
      </c>
      <c r="E88" s="42">
        <v>78</v>
      </c>
      <c r="F88" s="33" t="s">
        <v>22</v>
      </c>
      <c r="G88" s="25"/>
    </row>
    <row r="89" spans="2:7" ht="12.75">
      <c r="B89" s="20"/>
      <c r="C89" s="21"/>
      <c r="D89" s="22" t="s">
        <v>11</v>
      </c>
      <c r="E89" s="42">
        <v>71</v>
      </c>
      <c r="F89" s="33" t="s">
        <v>50</v>
      </c>
      <c r="G89" s="25"/>
    </row>
    <row r="90" spans="2:7" ht="12.75">
      <c r="B90" s="20"/>
      <c r="C90" s="21"/>
      <c r="D90" s="22" t="s">
        <v>49</v>
      </c>
      <c r="E90" s="42">
        <v>66</v>
      </c>
      <c r="F90" s="33" t="s">
        <v>51</v>
      </c>
      <c r="G90" s="25"/>
    </row>
    <row r="91" spans="2:7" ht="12.75">
      <c r="B91" s="20"/>
      <c r="C91" s="21"/>
      <c r="D91" s="22" t="s">
        <v>40</v>
      </c>
      <c r="E91" s="42">
        <v>32</v>
      </c>
      <c r="F91" s="33" t="s">
        <v>67</v>
      </c>
      <c r="G91" s="25"/>
    </row>
    <row r="92" spans="2:7" ht="12.75">
      <c r="B92" s="20"/>
      <c r="C92" s="21"/>
      <c r="D92" s="22" t="s">
        <v>15</v>
      </c>
      <c r="E92" s="42">
        <v>26</v>
      </c>
      <c r="F92" s="33" t="s">
        <v>75</v>
      </c>
      <c r="G92" s="25"/>
    </row>
    <row r="93" spans="2:7" ht="12.75">
      <c r="B93" s="20"/>
      <c r="C93" s="45"/>
      <c r="D93" s="22" t="s">
        <v>76</v>
      </c>
      <c r="E93" s="42">
        <v>18</v>
      </c>
      <c r="F93" s="33" t="s">
        <v>77</v>
      </c>
      <c r="G93" s="25"/>
    </row>
    <row r="94" spans="2:7" ht="12.75">
      <c r="B94" s="14" t="s">
        <v>73</v>
      </c>
      <c r="C94" s="15">
        <v>43555</v>
      </c>
      <c r="D94" s="16" t="s">
        <v>52</v>
      </c>
      <c r="E94" s="17">
        <v>34</v>
      </c>
      <c r="F94" s="18" t="s">
        <v>9</v>
      </c>
      <c r="G94" s="19">
        <v>2</v>
      </c>
    </row>
    <row r="95" spans="2:7" ht="12.75">
      <c r="B95" s="27" t="s">
        <v>71</v>
      </c>
      <c r="C95" s="28"/>
      <c r="D95" s="29" t="s">
        <v>54</v>
      </c>
      <c r="E95" s="30">
        <v>20</v>
      </c>
      <c r="F95" s="31" t="s">
        <v>12</v>
      </c>
      <c r="G95" s="32"/>
    </row>
    <row r="96" spans="2:7" ht="12.75">
      <c r="B96" s="10" t="s">
        <v>1</v>
      </c>
      <c r="C96" s="11" t="s">
        <v>2</v>
      </c>
      <c r="D96" s="12" t="s">
        <v>3</v>
      </c>
      <c r="E96" s="12" t="s">
        <v>4</v>
      </c>
      <c r="F96" s="12" t="s">
        <v>5</v>
      </c>
      <c r="G96" s="13" t="s">
        <v>6</v>
      </c>
    </row>
    <row r="97" spans="2:7" ht="12.75">
      <c r="B97" s="14" t="s">
        <v>78</v>
      </c>
      <c r="C97" s="15">
        <v>43561</v>
      </c>
      <c r="D97" s="16" t="s">
        <v>44</v>
      </c>
      <c r="E97" s="17">
        <v>17</v>
      </c>
      <c r="F97" s="18" t="s">
        <v>9</v>
      </c>
      <c r="G97" s="19">
        <v>8</v>
      </c>
    </row>
    <row r="98" spans="2:7" ht="12.75">
      <c r="B98" s="20"/>
      <c r="C98" s="21"/>
      <c r="D98" s="22" t="s">
        <v>79</v>
      </c>
      <c r="E98" s="23">
        <v>16</v>
      </c>
      <c r="F98" s="24" t="s">
        <v>12</v>
      </c>
      <c r="G98" s="25"/>
    </row>
    <row r="99" spans="2:7" ht="12.75">
      <c r="B99" s="20"/>
      <c r="C99" s="21"/>
      <c r="D99" s="22" t="s">
        <v>19</v>
      </c>
      <c r="E99" s="23">
        <v>15</v>
      </c>
      <c r="F99" s="24" t="s">
        <v>14</v>
      </c>
      <c r="G99" s="25"/>
    </row>
    <row r="100" spans="2:7" ht="12.75">
      <c r="B100" s="20"/>
      <c r="C100" s="21"/>
      <c r="D100" s="22" t="s">
        <v>11</v>
      </c>
      <c r="E100" s="23">
        <v>13</v>
      </c>
      <c r="F100" s="26" t="s">
        <v>16</v>
      </c>
      <c r="G100" s="25"/>
    </row>
    <row r="101" spans="2:7" ht="12.75">
      <c r="B101" s="20"/>
      <c r="C101" s="21"/>
      <c r="D101" s="22" t="s">
        <v>70</v>
      </c>
      <c r="E101" s="23">
        <v>12</v>
      </c>
      <c r="F101" s="26" t="s">
        <v>18</v>
      </c>
      <c r="G101" s="25"/>
    </row>
    <row r="102" spans="2:7" ht="12.75">
      <c r="B102" s="20"/>
      <c r="C102" s="21"/>
      <c r="D102" s="22" t="s">
        <v>80</v>
      </c>
      <c r="E102" s="23">
        <v>10</v>
      </c>
      <c r="F102" s="26" t="s">
        <v>20</v>
      </c>
      <c r="G102" s="25"/>
    </row>
    <row r="103" spans="2:7" ht="12.75">
      <c r="B103" s="20"/>
      <c r="C103" s="21"/>
      <c r="D103" s="22" t="s">
        <v>41</v>
      </c>
      <c r="E103" s="23">
        <v>9</v>
      </c>
      <c r="F103" s="26" t="s">
        <v>22</v>
      </c>
      <c r="G103" s="25"/>
    </row>
    <row r="104" spans="2:7" ht="12.75">
      <c r="B104" s="27"/>
      <c r="C104" s="28"/>
      <c r="D104" s="29" t="s">
        <v>68</v>
      </c>
      <c r="E104" s="30">
        <v>7</v>
      </c>
      <c r="F104" s="31" t="s">
        <v>50</v>
      </c>
      <c r="G104" s="32"/>
    </row>
    <row r="105" spans="2:7" ht="12.75">
      <c r="B105" s="10" t="s">
        <v>1</v>
      </c>
      <c r="C105" s="11" t="s">
        <v>2</v>
      </c>
      <c r="D105" s="12" t="s">
        <v>3</v>
      </c>
      <c r="E105" s="12" t="s">
        <v>4</v>
      </c>
      <c r="F105" s="12" t="s">
        <v>5</v>
      </c>
      <c r="G105" s="13" t="s">
        <v>6</v>
      </c>
    </row>
    <row r="106" spans="2:7" ht="12.75">
      <c r="B106" s="14" t="s">
        <v>55</v>
      </c>
      <c r="C106" s="15">
        <v>43562</v>
      </c>
      <c r="D106" s="16" t="s">
        <v>41</v>
      </c>
      <c r="E106" s="17">
        <v>96</v>
      </c>
      <c r="F106" s="18" t="s">
        <v>9</v>
      </c>
      <c r="G106" s="19">
        <v>6</v>
      </c>
    </row>
    <row r="107" spans="2:7" ht="12.75">
      <c r="B107" s="20" t="s">
        <v>56</v>
      </c>
      <c r="C107" s="21"/>
      <c r="D107" s="22" t="s">
        <v>46</v>
      </c>
      <c r="E107" s="23">
        <v>83</v>
      </c>
      <c r="F107" s="24" t="s">
        <v>12</v>
      </c>
      <c r="G107" s="25"/>
    </row>
    <row r="108" spans="2:7" ht="12.75">
      <c r="B108" s="20"/>
      <c r="C108" s="21"/>
      <c r="D108" s="22" t="s">
        <v>57</v>
      </c>
      <c r="E108" s="23">
        <v>83</v>
      </c>
      <c r="F108" s="24" t="s">
        <v>14</v>
      </c>
      <c r="G108" s="25"/>
    </row>
    <row r="109" spans="2:7" ht="12.75">
      <c r="B109" s="20"/>
      <c r="C109" s="21"/>
      <c r="D109" s="22" t="s">
        <v>31</v>
      </c>
      <c r="E109" s="23">
        <v>50</v>
      </c>
      <c r="F109" s="33" t="s">
        <v>16</v>
      </c>
      <c r="G109" s="25"/>
    </row>
    <row r="110" spans="2:7" ht="12.75">
      <c r="B110" s="20"/>
      <c r="C110" s="21"/>
      <c r="D110" s="22" t="s">
        <v>42</v>
      </c>
      <c r="E110" s="23">
        <v>39</v>
      </c>
      <c r="F110" s="33" t="s">
        <v>18</v>
      </c>
      <c r="G110" s="25"/>
    </row>
    <row r="111" spans="2:7" ht="12.75">
      <c r="B111" s="20"/>
      <c r="C111" s="21"/>
      <c r="D111" s="22" t="s">
        <v>74</v>
      </c>
      <c r="E111" s="23">
        <v>23</v>
      </c>
      <c r="F111" s="33" t="s">
        <v>20</v>
      </c>
      <c r="G111" s="25"/>
    </row>
    <row r="112" spans="2:7" ht="12.75">
      <c r="B112" s="14" t="s">
        <v>55</v>
      </c>
      <c r="C112" s="15">
        <v>43562</v>
      </c>
      <c r="D112" s="16" t="s">
        <v>58</v>
      </c>
      <c r="E112" s="17">
        <v>67</v>
      </c>
      <c r="F112" s="18" t="s">
        <v>9</v>
      </c>
      <c r="G112" s="19">
        <v>2</v>
      </c>
    </row>
    <row r="113" spans="2:7" ht="12.75">
      <c r="B113" s="20" t="s">
        <v>59</v>
      </c>
      <c r="C113" s="21"/>
      <c r="D113" s="22" t="s">
        <v>19</v>
      </c>
      <c r="E113" s="23">
        <v>38</v>
      </c>
      <c r="F113" s="33" t="s">
        <v>12</v>
      </c>
      <c r="G113" s="25"/>
    </row>
    <row r="114" spans="2:7" ht="12.75">
      <c r="B114" s="14" t="s">
        <v>55</v>
      </c>
      <c r="C114" s="15">
        <v>43562</v>
      </c>
      <c r="D114" s="16" t="s">
        <v>52</v>
      </c>
      <c r="E114" s="17">
        <v>19</v>
      </c>
      <c r="F114" s="18" t="s">
        <v>9</v>
      </c>
      <c r="G114" s="19">
        <v>1</v>
      </c>
    </row>
    <row r="115" spans="2:7" ht="12.75">
      <c r="B115" s="27" t="s">
        <v>62</v>
      </c>
      <c r="C115" s="28"/>
      <c r="D115" s="43"/>
      <c r="E115" s="44"/>
      <c r="F115" s="31"/>
      <c r="G115" s="32"/>
    </row>
    <row r="116" spans="2:7" ht="12.75">
      <c r="B116" s="10" t="s">
        <v>1</v>
      </c>
      <c r="C116" s="11" t="s">
        <v>2</v>
      </c>
      <c r="D116" s="12" t="s">
        <v>3</v>
      </c>
      <c r="E116" s="12" t="s">
        <v>4</v>
      </c>
      <c r="F116" s="12" t="s">
        <v>5</v>
      </c>
      <c r="G116" s="13" t="s">
        <v>6</v>
      </c>
    </row>
    <row r="117" spans="2:7" ht="12.75">
      <c r="B117" s="14" t="s">
        <v>60</v>
      </c>
      <c r="C117" s="15">
        <v>43562</v>
      </c>
      <c r="D117" s="16" t="s">
        <v>31</v>
      </c>
      <c r="E117" s="17">
        <v>93</v>
      </c>
      <c r="F117" s="18" t="s">
        <v>9</v>
      </c>
      <c r="G117" s="19">
        <v>9</v>
      </c>
    </row>
    <row r="118" spans="2:7" ht="12.75">
      <c r="B118" s="20" t="s">
        <v>56</v>
      </c>
      <c r="C118" s="21"/>
      <c r="D118" s="40" t="s">
        <v>41</v>
      </c>
      <c r="E118" s="41">
        <v>90</v>
      </c>
      <c r="F118" s="24" t="s">
        <v>12</v>
      </c>
      <c r="G118" s="25"/>
    </row>
    <row r="119" spans="2:7" ht="12.75">
      <c r="B119" s="20"/>
      <c r="C119" s="21"/>
      <c r="D119" s="22" t="s">
        <v>57</v>
      </c>
      <c r="E119" s="42">
        <v>83</v>
      </c>
      <c r="F119" s="24" t="s">
        <v>14</v>
      </c>
      <c r="G119" s="25"/>
    </row>
    <row r="120" spans="2:7" ht="12.75">
      <c r="B120" s="20"/>
      <c r="C120" s="21"/>
      <c r="D120" s="22" t="s">
        <v>38</v>
      </c>
      <c r="E120" s="42">
        <v>77</v>
      </c>
      <c r="F120" s="33" t="s">
        <v>16</v>
      </c>
      <c r="G120" s="25"/>
    </row>
    <row r="121" spans="2:7" ht="12.75">
      <c r="B121" s="20"/>
      <c r="C121" s="21"/>
      <c r="D121" s="22" t="s">
        <v>43</v>
      </c>
      <c r="E121" s="42">
        <v>77</v>
      </c>
      <c r="F121" s="33" t="s">
        <v>16</v>
      </c>
      <c r="G121" s="25"/>
    </row>
    <row r="122" spans="2:7" ht="12.75">
      <c r="B122" s="20"/>
      <c r="C122" s="21"/>
      <c r="D122" s="22" t="s">
        <v>46</v>
      </c>
      <c r="E122" s="42">
        <v>73</v>
      </c>
      <c r="F122" s="33" t="s">
        <v>20</v>
      </c>
      <c r="G122" s="25"/>
    </row>
    <row r="123" spans="2:7" ht="12.75">
      <c r="B123" s="20"/>
      <c r="C123" s="21"/>
      <c r="D123" s="22" t="s">
        <v>19</v>
      </c>
      <c r="E123" s="42">
        <v>71</v>
      </c>
      <c r="F123" s="33" t="s">
        <v>22</v>
      </c>
      <c r="G123" s="25"/>
    </row>
    <row r="124" spans="2:7" ht="12.75">
      <c r="B124" s="20"/>
      <c r="C124" s="21"/>
      <c r="D124" s="22" t="s">
        <v>74</v>
      </c>
      <c r="E124" s="42">
        <v>45</v>
      </c>
      <c r="F124" s="33" t="s">
        <v>50</v>
      </c>
      <c r="G124" s="25"/>
    </row>
    <row r="125" spans="2:7" ht="12.75">
      <c r="B125" s="20"/>
      <c r="C125" s="21"/>
      <c r="D125" s="22" t="s">
        <v>42</v>
      </c>
      <c r="E125" s="42">
        <v>44</v>
      </c>
      <c r="F125" s="33" t="s">
        <v>51</v>
      </c>
      <c r="G125" s="25"/>
    </row>
    <row r="126" spans="2:7" ht="12.75">
      <c r="B126" s="14" t="s">
        <v>60</v>
      </c>
      <c r="C126" s="15">
        <v>43562</v>
      </c>
      <c r="D126" s="16" t="s">
        <v>21</v>
      </c>
      <c r="E126" s="17">
        <v>54</v>
      </c>
      <c r="F126" s="18" t="s">
        <v>9</v>
      </c>
      <c r="G126" s="19">
        <v>2</v>
      </c>
    </row>
    <row r="127" spans="2:7" ht="12.75">
      <c r="B127" s="20" t="s">
        <v>59</v>
      </c>
      <c r="C127" s="21"/>
      <c r="D127" s="40" t="s">
        <v>58</v>
      </c>
      <c r="E127" s="41">
        <v>51</v>
      </c>
      <c r="F127" s="33" t="s">
        <v>12</v>
      </c>
      <c r="G127" s="25"/>
    </row>
    <row r="128" spans="2:7" ht="12.75">
      <c r="B128" s="14" t="s">
        <v>60</v>
      </c>
      <c r="C128" s="15">
        <v>43562</v>
      </c>
      <c r="D128" s="16" t="s">
        <v>52</v>
      </c>
      <c r="E128" s="17">
        <v>63</v>
      </c>
      <c r="F128" s="18" t="s">
        <v>9</v>
      </c>
      <c r="G128" s="19">
        <v>1</v>
      </c>
    </row>
    <row r="129" spans="2:7" ht="12.75">
      <c r="B129" s="27" t="s">
        <v>62</v>
      </c>
      <c r="C129" s="28"/>
      <c r="D129" s="43"/>
      <c r="E129" s="44"/>
      <c r="F129" s="31"/>
      <c r="G129" s="32"/>
    </row>
    <row r="130" spans="2:7" ht="12.75">
      <c r="B130" s="10" t="s">
        <v>1</v>
      </c>
      <c r="C130" s="11" t="s">
        <v>2</v>
      </c>
      <c r="D130" s="12" t="s">
        <v>3</v>
      </c>
      <c r="E130" s="12" t="s">
        <v>4</v>
      </c>
      <c r="F130" s="12" t="s">
        <v>5</v>
      </c>
      <c r="G130" s="13" t="s">
        <v>6</v>
      </c>
    </row>
    <row r="131" spans="2:8" ht="12.75">
      <c r="B131" s="14" t="s">
        <v>81</v>
      </c>
      <c r="C131" s="15">
        <v>43568</v>
      </c>
      <c r="D131" s="16" t="s">
        <v>46</v>
      </c>
      <c r="E131" s="34">
        <v>100</v>
      </c>
      <c r="F131" s="18" t="s">
        <v>9</v>
      </c>
      <c r="G131" s="19">
        <v>11</v>
      </c>
      <c r="H131" s="35">
        <v>32.18</v>
      </c>
    </row>
    <row r="132" spans="2:8" ht="12.75">
      <c r="B132" s="20" t="s">
        <v>82</v>
      </c>
      <c r="C132" s="21"/>
      <c r="D132" s="22" t="s">
        <v>44</v>
      </c>
      <c r="E132" s="36">
        <v>78.35</v>
      </c>
      <c r="F132" s="24" t="s">
        <v>12</v>
      </c>
      <c r="G132" s="25"/>
      <c r="H132" s="37">
        <v>41.07</v>
      </c>
    </row>
    <row r="133" spans="2:8" ht="12.75">
      <c r="B133" s="20"/>
      <c r="C133" s="21"/>
      <c r="D133" s="22" t="s">
        <v>41</v>
      </c>
      <c r="E133" s="36">
        <v>77.67</v>
      </c>
      <c r="F133" s="24" t="s">
        <v>14</v>
      </c>
      <c r="G133" s="25"/>
      <c r="H133" s="37">
        <v>41.43</v>
      </c>
    </row>
    <row r="134" spans="2:8" ht="12.75">
      <c r="B134" s="20"/>
      <c r="C134" s="21"/>
      <c r="D134" s="22" t="s">
        <v>19</v>
      </c>
      <c r="E134" s="36">
        <v>69.22</v>
      </c>
      <c r="F134" s="26" t="s">
        <v>16</v>
      </c>
      <c r="G134" s="25"/>
      <c r="H134" s="37">
        <v>46.49</v>
      </c>
    </row>
    <row r="135" spans="2:8" ht="12.75">
      <c r="B135" s="20"/>
      <c r="C135" s="21"/>
      <c r="D135" s="22" t="s">
        <v>47</v>
      </c>
      <c r="E135" s="36">
        <v>62.56</v>
      </c>
      <c r="F135" s="26" t="s">
        <v>18</v>
      </c>
      <c r="G135" s="25"/>
      <c r="H135" s="37">
        <v>51.44</v>
      </c>
    </row>
    <row r="136" spans="2:8" ht="12.75">
      <c r="B136" s="20"/>
      <c r="C136" s="21"/>
      <c r="D136" s="22" t="s">
        <v>57</v>
      </c>
      <c r="E136" s="36">
        <v>62.21</v>
      </c>
      <c r="F136" s="26" t="s">
        <v>20</v>
      </c>
      <c r="G136" s="25"/>
      <c r="H136" s="37">
        <v>51.73</v>
      </c>
    </row>
    <row r="137" spans="2:8" ht="12.75">
      <c r="B137" s="20"/>
      <c r="C137" s="21"/>
      <c r="D137" s="22" t="s">
        <v>23</v>
      </c>
      <c r="E137" s="36">
        <v>61.17</v>
      </c>
      <c r="F137" s="26" t="s">
        <v>22</v>
      </c>
      <c r="G137" s="25"/>
      <c r="H137" s="37">
        <v>52.61</v>
      </c>
    </row>
    <row r="138" spans="2:8" ht="12.75">
      <c r="B138" s="20"/>
      <c r="C138" s="21"/>
      <c r="D138" s="22" t="s">
        <v>83</v>
      </c>
      <c r="E138" s="36">
        <v>52.02</v>
      </c>
      <c r="F138" s="26" t="s">
        <v>50</v>
      </c>
      <c r="G138" s="25"/>
      <c r="H138" s="37">
        <v>61.86</v>
      </c>
    </row>
    <row r="139" spans="2:8" ht="12.75">
      <c r="B139" s="20"/>
      <c r="C139" s="21"/>
      <c r="D139" s="22" t="s">
        <v>38</v>
      </c>
      <c r="E139" s="36">
        <v>43.42</v>
      </c>
      <c r="F139" s="26" t="s">
        <v>51</v>
      </c>
      <c r="G139" s="25"/>
      <c r="H139" s="37">
        <v>74.11</v>
      </c>
    </row>
    <row r="140" spans="2:8" ht="12.75">
      <c r="B140" s="20"/>
      <c r="C140" s="21"/>
      <c r="D140" s="22" t="s">
        <v>43</v>
      </c>
      <c r="E140" s="36">
        <v>31.33</v>
      </c>
      <c r="F140" s="26" t="s">
        <v>67</v>
      </c>
      <c r="G140" s="25"/>
      <c r="H140" s="37">
        <v>102.7</v>
      </c>
    </row>
    <row r="141" spans="2:8" ht="12.75">
      <c r="B141" s="27"/>
      <c r="C141" s="28"/>
      <c r="D141" s="29" t="s">
        <v>79</v>
      </c>
      <c r="E141" s="38">
        <v>0</v>
      </c>
      <c r="F141" s="26" t="s">
        <v>75</v>
      </c>
      <c r="G141" s="32"/>
      <c r="H141" s="39">
        <v>0</v>
      </c>
    </row>
    <row r="142" spans="2:8" ht="12.75">
      <c r="B142" s="14" t="s">
        <v>81</v>
      </c>
      <c r="C142" s="15">
        <v>43568</v>
      </c>
      <c r="D142" s="16" t="s">
        <v>83</v>
      </c>
      <c r="E142" s="34">
        <v>100</v>
      </c>
      <c r="F142" s="18" t="s">
        <v>9</v>
      </c>
      <c r="G142" s="19">
        <v>9</v>
      </c>
      <c r="H142" s="37">
        <v>68.26</v>
      </c>
    </row>
    <row r="143" spans="2:8" ht="12.75">
      <c r="B143" s="20" t="s">
        <v>84</v>
      </c>
      <c r="C143" s="21"/>
      <c r="D143" s="22" t="s">
        <v>44</v>
      </c>
      <c r="E143" s="36">
        <v>89.53</v>
      </c>
      <c r="F143" s="24" t="s">
        <v>12</v>
      </c>
      <c r="G143" s="25"/>
      <c r="H143" s="37">
        <v>76.24</v>
      </c>
    </row>
    <row r="144" spans="2:8" ht="12.75">
      <c r="B144" s="20"/>
      <c r="C144" s="21"/>
      <c r="D144" s="22" t="s">
        <v>41</v>
      </c>
      <c r="E144" s="36">
        <v>86.11</v>
      </c>
      <c r="F144" s="24" t="s">
        <v>14</v>
      </c>
      <c r="G144" s="25"/>
      <c r="H144" s="37">
        <v>79.27</v>
      </c>
    </row>
    <row r="145" spans="2:8" ht="12.75">
      <c r="B145" s="20"/>
      <c r="C145" s="21"/>
      <c r="D145" s="22" t="s">
        <v>46</v>
      </c>
      <c r="E145" s="36">
        <v>57.92</v>
      </c>
      <c r="F145" s="26" t="s">
        <v>16</v>
      </c>
      <c r="G145" s="25"/>
      <c r="H145" s="37">
        <v>117.86</v>
      </c>
    </row>
    <row r="146" spans="2:8" ht="12.75">
      <c r="B146" s="20"/>
      <c r="C146" s="21"/>
      <c r="D146" s="22" t="s">
        <v>47</v>
      </c>
      <c r="E146" s="36">
        <v>53.36</v>
      </c>
      <c r="F146" s="26" t="s">
        <v>18</v>
      </c>
      <c r="G146" s="25"/>
      <c r="H146" s="37">
        <v>127.92</v>
      </c>
    </row>
    <row r="147" spans="2:8" ht="12.75">
      <c r="B147" s="20"/>
      <c r="C147" s="21"/>
      <c r="D147" s="22" t="s">
        <v>23</v>
      </c>
      <c r="E147" s="36">
        <v>51.5</v>
      </c>
      <c r="F147" s="26" t="s">
        <v>20</v>
      </c>
      <c r="G147" s="25"/>
      <c r="H147" s="37">
        <v>132.55</v>
      </c>
    </row>
    <row r="148" spans="2:8" ht="12.75">
      <c r="B148" s="20"/>
      <c r="C148" s="21"/>
      <c r="D148" s="22" t="s">
        <v>57</v>
      </c>
      <c r="E148" s="36">
        <v>46.57</v>
      </c>
      <c r="F148" s="26" t="s">
        <v>22</v>
      </c>
      <c r="G148" s="25"/>
      <c r="H148" s="37">
        <v>146.58</v>
      </c>
    </row>
    <row r="149" spans="2:8" ht="12.75">
      <c r="B149" s="20"/>
      <c r="C149" s="21"/>
      <c r="D149" s="22" t="s">
        <v>38</v>
      </c>
      <c r="E149" s="36">
        <v>42.2</v>
      </c>
      <c r="F149" s="26" t="s">
        <v>50</v>
      </c>
      <c r="G149" s="25"/>
      <c r="H149" s="37">
        <v>161.74</v>
      </c>
    </row>
    <row r="150" spans="2:8" ht="12.75">
      <c r="B150" s="27"/>
      <c r="C150" s="28"/>
      <c r="D150" s="29" t="s">
        <v>19</v>
      </c>
      <c r="E150" s="38">
        <v>41.29</v>
      </c>
      <c r="F150" s="31" t="s">
        <v>51</v>
      </c>
      <c r="G150" s="32"/>
      <c r="H150" s="39">
        <v>165.31</v>
      </c>
    </row>
    <row r="151" spans="2:7" ht="12.75">
      <c r="B151" s="10" t="s">
        <v>1</v>
      </c>
      <c r="C151" s="11" t="s">
        <v>2</v>
      </c>
      <c r="D151" s="12" t="s">
        <v>3</v>
      </c>
      <c r="E151" s="12" t="s">
        <v>4</v>
      </c>
      <c r="F151" s="12" t="s">
        <v>5</v>
      </c>
      <c r="G151" s="13" t="s">
        <v>6</v>
      </c>
    </row>
    <row r="152" spans="2:8" ht="12.75">
      <c r="B152" s="14" t="s">
        <v>37</v>
      </c>
      <c r="C152" s="15">
        <v>43582</v>
      </c>
      <c r="D152" s="16" t="s">
        <v>38</v>
      </c>
      <c r="E152" s="34">
        <v>100</v>
      </c>
      <c r="F152" s="18" t="s">
        <v>9</v>
      </c>
      <c r="G152" s="19">
        <v>7</v>
      </c>
      <c r="H152" s="35">
        <v>37.65</v>
      </c>
    </row>
    <row r="153" spans="2:8" ht="12.75">
      <c r="B153" s="20" t="s">
        <v>39</v>
      </c>
      <c r="C153" s="21"/>
      <c r="D153" s="22" t="s">
        <v>41</v>
      </c>
      <c r="E153" s="36">
        <v>96.54</v>
      </c>
      <c r="F153" s="24" t="s">
        <v>12</v>
      </c>
      <c r="G153" s="25"/>
      <c r="H153" s="37">
        <v>39</v>
      </c>
    </row>
    <row r="154" spans="2:8" ht="12.75">
      <c r="B154" s="20"/>
      <c r="C154" s="21"/>
      <c r="D154" s="22" t="s">
        <v>85</v>
      </c>
      <c r="E154" s="36">
        <v>76</v>
      </c>
      <c r="F154" s="24" t="s">
        <v>14</v>
      </c>
      <c r="G154" s="25"/>
      <c r="H154" s="37">
        <v>49.54</v>
      </c>
    </row>
    <row r="155" spans="2:8" ht="12.75">
      <c r="B155" s="20"/>
      <c r="C155" s="21"/>
      <c r="D155" s="22" t="s">
        <v>83</v>
      </c>
      <c r="E155" s="36">
        <v>66.12</v>
      </c>
      <c r="F155" s="26" t="s">
        <v>16</v>
      </c>
      <c r="G155" s="25"/>
      <c r="H155" s="37">
        <v>56.94</v>
      </c>
    </row>
    <row r="156" spans="2:8" ht="12.75">
      <c r="B156" s="20"/>
      <c r="C156" s="21"/>
      <c r="D156" s="22" t="s">
        <v>31</v>
      </c>
      <c r="E156" s="36">
        <v>65.08</v>
      </c>
      <c r="F156" s="26" t="s">
        <v>18</v>
      </c>
      <c r="G156" s="25"/>
      <c r="H156" s="37">
        <v>57.85</v>
      </c>
    </row>
    <row r="157" spans="2:8" ht="12.75">
      <c r="B157" s="20"/>
      <c r="C157" s="21"/>
      <c r="D157" s="22" t="s">
        <v>86</v>
      </c>
      <c r="E157" s="36">
        <v>58.3</v>
      </c>
      <c r="F157" s="26" t="s">
        <v>20</v>
      </c>
      <c r="G157" s="25"/>
      <c r="H157" s="37">
        <v>64.58</v>
      </c>
    </row>
    <row r="158" spans="2:8" ht="12.75">
      <c r="B158" s="20"/>
      <c r="C158" s="21"/>
      <c r="D158" s="22" t="s">
        <v>43</v>
      </c>
      <c r="E158" s="36">
        <v>36.44</v>
      </c>
      <c r="F158" s="26" t="s">
        <v>22</v>
      </c>
      <c r="G158" s="25"/>
      <c r="H158" s="37">
        <v>103.31</v>
      </c>
    </row>
    <row r="159" spans="2:8" ht="12.75">
      <c r="B159" s="14" t="s">
        <v>37</v>
      </c>
      <c r="C159" s="15">
        <v>43582</v>
      </c>
      <c r="D159" s="16" t="s">
        <v>46</v>
      </c>
      <c r="E159" s="34">
        <v>100</v>
      </c>
      <c r="F159" s="18" t="s">
        <v>9</v>
      </c>
      <c r="G159" s="19">
        <v>5</v>
      </c>
      <c r="H159" s="35">
        <v>29.98</v>
      </c>
    </row>
    <row r="160" spans="2:8" ht="12.75">
      <c r="B160" s="20" t="s">
        <v>45</v>
      </c>
      <c r="C160" s="21"/>
      <c r="D160" s="22" t="s">
        <v>44</v>
      </c>
      <c r="E160" s="36">
        <v>95.54</v>
      </c>
      <c r="F160" s="24" t="s">
        <v>12</v>
      </c>
      <c r="G160" s="25"/>
      <c r="H160" s="37">
        <v>31.38</v>
      </c>
    </row>
    <row r="161" spans="2:8" ht="12.75">
      <c r="B161" s="20"/>
      <c r="C161" s="21"/>
      <c r="D161" s="22" t="s">
        <v>74</v>
      </c>
      <c r="E161" s="36">
        <v>51.3</v>
      </c>
      <c r="F161" s="33" t="s">
        <v>14</v>
      </c>
      <c r="G161" s="25"/>
      <c r="H161" s="37">
        <v>58.44</v>
      </c>
    </row>
    <row r="162" spans="2:8" ht="12.75">
      <c r="B162" s="20"/>
      <c r="C162" s="21"/>
      <c r="D162" s="22" t="s">
        <v>47</v>
      </c>
      <c r="E162" s="36">
        <v>42.24</v>
      </c>
      <c r="F162" s="26" t="s">
        <v>16</v>
      </c>
      <c r="G162" s="25"/>
      <c r="H162" s="37">
        <v>70.97</v>
      </c>
    </row>
    <row r="163" spans="2:8" ht="12.75">
      <c r="B163" s="20"/>
      <c r="C163" s="21"/>
      <c r="D163" s="22" t="s">
        <v>19</v>
      </c>
      <c r="E163" s="36">
        <v>29.75</v>
      </c>
      <c r="F163" s="26" t="s">
        <v>18</v>
      </c>
      <c r="G163" s="25"/>
      <c r="H163" s="37">
        <v>100.78</v>
      </c>
    </row>
    <row r="164" spans="2:8" ht="12.75">
      <c r="B164" s="14" t="s">
        <v>37</v>
      </c>
      <c r="C164" s="15">
        <v>43582</v>
      </c>
      <c r="D164" s="16" t="s">
        <v>72</v>
      </c>
      <c r="E164" s="34">
        <v>44.86</v>
      </c>
      <c r="F164" s="18" t="s">
        <v>9</v>
      </c>
      <c r="G164" s="19">
        <v>3</v>
      </c>
      <c r="H164" s="35">
        <v>66.83</v>
      </c>
    </row>
    <row r="165" spans="2:8" ht="12.75">
      <c r="B165" s="20" t="s">
        <v>53</v>
      </c>
      <c r="C165" s="21"/>
      <c r="D165" s="22" t="s">
        <v>61</v>
      </c>
      <c r="E165" s="36">
        <v>30.35</v>
      </c>
      <c r="F165" s="33" t="s">
        <v>12</v>
      </c>
      <c r="G165" s="25"/>
      <c r="H165" s="37">
        <v>98.77</v>
      </c>
    </row>
    <row r="166" spans="2:8" ht="12.75">
      <c r="B166" s="27"/>
      <c r="C166" s="28"/>
      <c r="D166" s="29" t="s">
        <v>52</v>
      </c>
      <c r="E166" s="38">
        <v>28.54</v>
      </c>
      <c r="F166" s="31" t="s">
        <v>14</v>
      </c>
      <c r="G166" s="32"/>
      <c r="H166" s="39">
        <v>105.06</v>
      </c>
    </row>
    <row r="167" spans="2:7" ht="12.75">
      <c r="B167" s="10" t="s">
        <v>1</v>
      </c>
      <c r="C167" s="11" t="s">
        <v>2</v>
      </c>
      <c r="D167" s="12" t="s">
        <v>3</v>
      </c>
      <c r="E167" s="12" t="s">
        <v>4</v>
      </c>
      <c r="F167" s="12" t="s">
        <v>5</v>
      </c>
      <c r="G167" s="13" t="s">
        <v>6</v>
      </c>
    </row>
    <row r="168" spans="2:7" ht="12.75">
      <c r="B168" s="14" t="s">
        <v>63</v>
      </c>
      <c r="C168" s="15">
        <v>43583</v>
      </c>
      <c r="D168" s="16" t="s">
        <v>87</v>
      </c>
      <c r="E168" s="17">
        <v>195</v>
      </c>
      <c r="F168" s="18" t="s">
        <v>9</v>
      </c>
      <c r="G168" s="19">
        <v>8</v>
      </c>
    </row>
    <row r="169" spans="2:7" ht="12.75">
      <c r="B169" s="20" t="s">
        <v>88</v>
      </c>
      <c r="C169" s="21"/>
      <c r="D169" s="40" t="s">
        <v>89</v>
      </c>
      <c r="E169" s="41">
        <v>195</v>
      </c>
      <c r="F169" s="24" t="s">
        <v>12</v>
      </c>
      <c r="G169" s="25"/>
    </row>
    <row r="170" spans="2:7" ht="12.75">
      <c r="B170" s="20"/>
      <c r="C170" s="21"/>
      <c r="D170" s="22" t="s">
        <v>90</v>
      </c>
      <c r="E170" s="42">
        <v>191</v>
      </c>
      <c r="F170" s="24" t="s">
        <v>14</v>
      </c>
      <c r="G170" s="25"/>
    </row>
    <row r="171" spans="2:7" ht="12.75">
      <c r="B171" s="20"/>
      <c r="C171" s="21"/>
      <c r="D171" s="22" t="s">
        <v>91</v>
      </c>
      <c r="E171" s="42">
        <v>191</v>
      </c>
      <c r="F171" s="33" t="s">
        <v>16</v>
      </c>
      <c r="G171" s="25"/>
    </row>
    <row r="172" spans="2:7" ht="12.75">
      <c r="B172" s="20"/>
      <c r="C172" s="21"/>
      <c r="D172" s="22" t="s">
        <v>31</v>
      </c>
      <c r="E172" s="42">
        <v>180</v>
      </c>
      <c r="F172" s="33" t="s">
        <v>18</v>
      </c>
      <c r="G172" s="25"/>
    </row>
    <row r="173" spans="2:7" ht="12.75">
      <c r="B173" s="20"/>
      <c r="C173" s="21"/>
      <c r="D173" s="22" t="s">
        <v>11</v>
      </c>
      <c r="E173" s="42">
        <v>177</v>
      </c>
      <c r="F173" s="33" t="s">
        <v>20</v>
      </c>
      <c r="G173" s="25"/>
    </row>
    <row r="174" spans="2:7" ht="12.75">
      <c r="B174" s="20"/>
      <c r="C174" s="21"/>
      <c r="D174" s="22" t="s">
        <v>41</v>
      </c>
      <c r="E174" s="42">
        <v>177</v>
      </c>
      <c r="F174" s="33" t="s">
        <v>20</v>
      </c>
      <c r="G174" s="25"/>
    </row>
    <row r="175" spans="2:7" ht="12.75">
      <c r="B175" s="20"/>
      <c r="C175" s="21"/>
      <c r="D175" s="22" t="s">
        <v>47</v>
      </c>
      <c r="E175" s="42">
        <v>174</v>
      </c>
      <c r="F175" s="33" t="s">
        <v>50</v>
      </c>
      <c r="G175" s="25"/>
    </row>
    <row r="176" spans="2:7" ht="12.75">
      <c r="B176" s="14" t="s">
        <v>63</v>
      </c>
      <c r="C176" s="15">
        <v>43583</v>
      </c>
      <c r="D176" s="16" t="s">
        <v>92</v>
      </c>
      <c r="E176" s="17">
        <v>181</v>
      </c>
      <c r="F176" s="18" t="s">
        <v>9</v>
      </c>
      <c r="G176" s="19">
        <v>3</v>
      </c>
    </row>
    <row r="177" spans="2:7" ht="12.75">
      <c r="B177" s="20" t="s">
        <v>59</v>
      </c>
      <c r="C177" s="21"/>
      <c r="D177" s="40" t="s">
        <v>38</v>
      </c>
      <c r="E177" s="41">
        <v>176</v>
      </c>
      <c r="F177" s="33" t="s">
        <v>12</v>
      </c>
      <c r="G177" s="25"/>
    </row>
    <row r="178" spans="2:7" ht="12.75">
      <c r="B178" s="20"/>
      <c r="C178" s="21"/>
      <c r="D178" s="22" t="s">
        <v>68</v>
      </c>
      <c r="E178" s="42">
        <v>158</v>
      </c>
      <c r="F178" s="33" t="s">
        <v>14</v>
      </c>
      <c r="G178" s="25"/>
    </row>
    <row r="179" spans="2:7" ht="12.75">
      <c r="B179" s="14" t="s">
        <v>63</v>
      </c>
      <c r="C179" s="15">
        <v>43583</v>
      </c>
      <c r="D179" s="16" t="s">
        <v>70</v>
      </c>
      <c r="E179" s="17">
        <v>184</v>
      </c>
      <c r="F179" s="18" t="s">
        <v>9</v>
      </c>
      <c r="G179" s="19">
        <v>2</v>
      </c>
    </row>
    <row r="180" spans="2:7" ht="12.75">
      <c r="B180" s="27" t="s">
        <v>93</v>
      </c>
      <c r="C180" s="28"/>
      <c r="D180" s="43" t="s">
        <v>72</v>
      </c>
      <c r="E180" s="44">
        <v>174</v>
      </c>
      <c r="F180" s="46" t="s">
        <v>12</v>
      </c>
      <c r="G180" s="32"/>
    </row>
    <row r="181" spans="2:7" ht="12.75">
      <c r="B181" s="10" t="s">
        <v>1</v>
      </c>
      <c r="C181" s="11" t="s">
        <v>2</v>
      </c>
      <c r="D181" s="12" t="s">
        <v>3</v>
      </c>
      <c r="E181" s="12" t="s">
        <v>4</v>
      </c>
      <c r="F181" s="12" t="s">
        <v>5</v>
      </c>
      <c r="G181" s="13" t="s">
        <v>6</v>
      </c>
    </row>
    <row r="182" spans="2:7" ht="12.75">
      <c r="B182" s="14" t="s">
        <v>7</v>
      </c>
      <c r="C182" s="15">
        <v>43589</v>
      </c>
      <c r="D182" s="16" t="s">
        <v>8</v>
      </c>
      <c r="E182" s="17">
        <v>42</v>
      </c>
      <c r="F182" s="18" t="s">
        <v>9</v>
      </c>
      <c r="G182" s="19">
        <v>5</v>
      </c>
    </row>
    <row r="183" spans="2:7" ht="12.75">
      <c r="B183" s="20" t="s">
        <v>10</v>
      </c>
      <c r="C183" s="21"/>
      <c r="D183" s="22" t="s">
        <v>11</v>
      </c>
      <c r="E183" s="23">
        <v>29</v>
      </c>
      <c r="F183" s="24" t="s">
        <v>12</v>
      </c>
      <c r="G183" s="25"/>
    </row>
    <row r="184" spans="2:7" ht="12.75">
      <c r="B184" s="20"/>
      <c r="C184" s="21"/>
      <c r="D184" s="22" t="s">
        <v>19</v>
      </c>
      <c r="E184" s="23">
        <v>20</v>
      </c>
      <c r="F184" s="33" t="s">
        <v>14</v>
      </c>
      <c r="G184" s="25"/>
    </row>
    <row r="185" spans="2:7" ht="12.75">
      <c r="B185" s="20"/>
      <c r="C185" s="21"/>
      <c r="D185" s="22" t="s">
        <v>41</v>
      </c>
      <c r="E185" s="23">
        <v>20</v>
      </c>
      <c r="F185" s="26" t="s">
        <v>16</v>
      </c>
      <c r="G185" s="25"/>
    </row>
    <row r="186" spans="2:7" ht="12.75">
      <c r="B186" s="20"/>
      <c r="C186" s="21"/>
      <c r="D186" s="29" t="s">
        <v>17</v>
      </c>
      <c r="E186" s="30">
        <v>8</v>
      </c>
      <c r="F186" s="31" t="s">
        <v>18</v>
      </c>
      <c r="G186" s="32"/>
    </row>
    <row r="187" spans="2:7" ht="12.75">
      <c r="B187" s="14" t="s">
        <v>7</v>
      </c>
      <c r="C187" s="15">
        <v>43589</v>
      </c>
      <c r="D187" s="16" t="s">
        <v>26</v>
      </c>
      <c r="E187" s="17">
        <v>38</v>
      </c>
      <c r="F187" s="18" t="s">
        <v>9</v>
      </c>
      <c r="G187" s="19">
        <v>5</v>
      </c>
    </row>
    <row r="188" spans="2:7" ht="12.75">
      <c r="B188" s="20" t="s">
        <v>24</v>
      </c>
      <c r="C188" s="21"/>
      <c r="D188" s="22" t="s">
        <v>41</v>
      </c>
      <c r="E188" s="23">
        <v>30</v>
      </c>
      <c r="F188" s="24" t="s">
        <v>12</v>
      </c>
      <c r="G188" s="25"/>
    </row>
    <row r="189" spans="2:7" ht="12.75">
      <c r="B189" s="20"/>
      <c r="C189" s="21"/>
      <c r="D189" s="22" t="s">
        <v>11</v>
      </c>
      <c r="E189" s="23">
        <v>28</v>
      </c>
      <c r="F189" s="33" t="s">
        <v>14</v>
      </c>
      <c r="G189" s="25"/>
    </row>
    <row r="190" spans="2:7" ht="12.75">
      <c r="B190" s="20"/>
      <c r="C190" s="21"/>
      <c r="D190" s="22" t="s">
        <v>19</v>
      </c>
      <c r="E190" s="23">
        <v>27</v>
      </c>
      <c r="F190" s="26" t="s">
        <v>16</v>
      </c>
      <c r="G190" s="25"/>
    </row>
    <row r="191" spans="2:7" ht="12.75">
      <c r="B191" s="27"/>
      <c r="C191" s="28"/>
      <c r="D191" s="29" t="s">
        <v>8</v>
      </c>
      <c r="E191" s="30">
        <v>23</v>
      </c>
      <c r="F191" s="31" t="s">
        <v>18</v>
      </c>
      <c r="G191" s="32"/>
    </row>
    <row r="192" spans="2:7" ht="12.75">
      <c r="B192" s="10" t="s">
        <v>1</v>
      </c>
      <c r="C192" s="11" t="s">
        <v>2</v>
      </c>
      <c r="D192" s="12" t="s">
        <v>3</v>
      </c>
      <c r="E192" s="12" t="s">
        <v>4</v>
      </c>
      <c r="F192" s="12" t="s">
        <v>5</v>
      </c>
      <c r="G192" s="13" t="s">
        <v>6</v>
      </c>
    </row>
    <row r="193" spans="2:7" ht="12.75">
      <c r="B193" s="14" t="s">
        <v>73</v>
      </c>
      <c r="C193" s="15">
        <v>43590</v>
      </c>
      <c r="D193" s="16" t="s">
        <v>43</v>
      </c>
      <c r="E193" s="17">
        <v>170</v>
      </c>
      <c r="F193" s="18" t="s">
        <v>9</v>
      </c>
      <c r="G193" s="19">
        <v>10</v>
      </c>
    </row>
    <row r="194" spans="2:7" ht="12.75">
      <c r="B194" s="20"/>
      <c r="C194" s="21"/>
      <c r="D194" s="40" t="s">
        <v>41</v>
      </c>
      <c r="E194" s="41">
        <v>160</v>
      </c>
      <c r="F194" s="24" t="s">
        <v>12</v>
      </c>
      <c r="G194" s="25"/>
    </row>
    <row r="195" spans="2:7" ht="12.75">
      <c r="B195" s="20"/>
      <c r="C195" s="21"/>
      <c r="D195" s="22" t="s">
        <v>19</v>
      </c>
      <c r="E195" s="42">
        <v>126</v>
      </c>
      <c r="F195" s="24" t="s">
        <v>14</v>
      </c>
      <c r="G195" s="25"/>
    </row>
    <row r="196" spans="2:7" ht="12.75">
      <c r="B196" s="20"/>
      <c r="C196" s="21"/>
      <c r="D196" s="22" t="s">
        <v>52</v>
      </c>
      <c r="E196" s="42">
        <v>117</v>
      </c>
      <c r="F196" s="33" t="s">
        <v>16</v>
      </c>
      <c r="G196" s="25"/>
    </row>
    <row r="197" spans="2:7" ht="12.75">
      <c r="B197" s="20"/>
      <c r="C197" s="21"/>
      <c r="D197" s="22" t="s">
        <v>31</v>
      </c>
      <c r="E197" s="42">
        <v>113</v>
      </c>
      <c r="F197" s="33" t="s">
        <v>18</v>
      </c>
      <c r="G197" s="25"/>
    </row>
    <row r="198" spans="2:7" ht="12.75">
      <c r="B198" s="20"/>
      <c r="C198" s="21"/>
      <c r="D198" s="22" t="s">
        <v>46</v>
      </c>
      <c r="E198" s="42">
        <v>94</v>
      </c>
      <c r="F198" s="33" t="s">
        <v>20</v>
      </c>
      <c r="G198" s="25"/>
    </row>
    <row r="199" spans="2:7" ht="12.75">
      <c r="B199" s="20"/>
      <c r="C199" s="21"/>
      <c r="D199" s="22" t="s">
        <v>11</v>
      </c>
      <c r="E199" s="42">
        <v>89</v>
      </c>
      <c r="F199" s="33" t="s">
        <v>22</v>
      </c>
      <c r="G199" s="25"/>
    </row>
    <row r="200" spans="2:7" ht="12.75">
      <c r="B200" s="20"/>
      <c r="C200" s="21"/>
      <c r="D200" s="22" t="s">
        <v>57</v>
      </c>
      <c r="E200" s="42">
        <v>86</v>
      </c>
      <c r="F200" s="33" t="s">
        <v>50</v>
      </c>
      <c r="G200" s="25"/>
    </row>
    <row r="201" spans="2:7" ht="12.75">
      <c r="B201" s="20"/>
      <c r="C201" s="21"/>
      <c r="D201" s="22" t="s">
        <v>94</v>
      </c>
      <c r="E201" s="42">
        <v>58</v>
      </c>
      <c r="F201" s="33" t="s">
        <v>51</v>
      </c>
      <c r="G201" s="25"/>
    </row>
    <row r="202" spans="2:7" ht="12.75">
      <c r="B202" s="27"/>
      <c r="C202" s="28"/>
      <c r="D202" s="29" t="s">
        <v>95</v>
      </c>
      <c r="E202" s="44">
        <v>41</v>
      </c>
      <c r="F202" s="31" t="s">
        <v>67</v>
      </c>
      <c r="G202" s="32"/>
    </row>
    <row r="203" spans="2:7" ht="12.75">
      <c r="B203" s="10" t="s">
        <v>1</v>
      </c>
      <c r="C203" s="11" t="s">
        <v>2</v>
      </c>
      <c r="D203" s="12" t="s">
        <v>3</v>
      </c>
      <c r="E203" s="12" t="s">
        <v>4</v>
      </c>
      <c r="F203" s="12" t="s">
        <v>5</v>
      </c>
      <c r="G203" s="13" t="s">
        <v>6</v>
      </c>
    </row>
    <row r="204" spans="2:7" ht="12.75">
      <c r="B204" s="14" t="s">
        <v>55</v>
      </c>
      <c r="C204" s="15">
        <v>43596</v>
      </c>
      <c r="D204" s="16" t="s">
        <v>96</v>
      </c>
      <c r="E204" s="17">
        <v>84</v>
      </c>
      <c r="F204" s="18" t="s">
        <v>9</v>
      </c>
      <c r="G204" s="19">
        <v>5</v>
      </c>
    </row>
    <row r="205" spans="2:7" ht="12.75">
      <c r="B205" s="20" t="s">
        <v>56</v>
      </c>
      <c r="C205" s="21"/>
      <c r="D205" s="22" t="s">
        <v>46</v>
      </c>
      <c r="E205" s="23">
        <v>74</v>
      </c>
      <c r="F205" s="33" t="s">
        <v>12</v>
      </c>
      <c r="G205" s="25"/>
    </row>
    <row r="206" spans="2:7" ht="12.75">
      <c r="B206" s="20"/>
      <c r="C206" s="21"/>
      <c r="D206" s="22" t="s">
        <v>41</v>
      </c>
      <c r="E206" s="23">
        <v>72</v>
      </c>
      <c r="F206" s="33" t="s">
        <v>14</v>
      </c>
      <c r="G206" s="25"/>
    </row>
    <row r="207" spans="2:7" ht="12.75">
      <c r="B207" s="20"/>
      <c r="C207" s="21"/>
      <c r="D207" s="22" t="s">
        <v>57</v>
      </c>
      <c r="E207" s="23">
        <v>66</v>
      </c>
      <c r="F207" s="33" t="s">
        <v>16</v>
      </c>
      <c r="G207" s="25"/>
    </row>
    <row r="208" spans="2:7" ht="12.75">
      <c r="B208" s="20"/>
      <c r="C208" s="21"/>
      <c r="D208" s="22" t="s">
        <v>85</v>
      </c>
      <c r="E208" s="23">
        <v>64</v>
      </c>
      <c r="F208" s="33" t="s">
        <v>18</v>
      </c>
      <c r="G208" s="25"/>
    </row>
    <row r="209" spans="2:7" ht="12.75">
      <c r="B209" s="14" t="s">
        <v>55</v>
      </c>
      <c r="C209" s="15">
        <v>43596</v>
      </c>
      <c r="D209" s="16" t="s">
        <v>19</v>
      </c>
      <c r="E209" s="17">
        <v>60</v>
      </c>
      <c r="F209" s="18" t="s">
        <v>9</v>
      </c>
      <c r="G209" s="19">
        <v>1</v>
      </c>
    </row>
    <row r="210" spans="2:7" ht="12.75">
      <c r="B210" s="20" t="s">
        <v>59</v>
      </c>
      <c r="C210" s="21"/>
      <c r="D210" s="22"/>
      <c r="E210" s="23"/>
      <c r="F210" s="33"/>
      <c r="G210" s="25"/>
    </row>
    <row r="211" spans="2:7" ht="12.75">
      <c r="B211" s="10" t="s">
        <v>1</v>
      </c>
      <c r="C211" s="11" t="s">
        <v>2</v>
      </c>
      <c r="D211" s="12" t="s">
        <v>3</v>
      </c>
      <c r="E211" s="12" t="s">
        <v>4</v>
      </c>
      <c r="F211" s="12" t="s">
        <v>5</v>
      </c>
      <c r="G211" s="13" t="s">
        <v>6</v>
      </c>
    </row>
    <row r="212" spans="2:7" ht="12.75">
      <c r="B212" s="14" t="s">
        <v>60</v>
      </c>
      <c r="C212" s="15">
        <v>43596</v>
      </c>
      <c r="D212" s="16" t="s">
        <v>41</v>
      </c>
      <c r="E212" s="17">
        <v>93</v>
      </c>
      <c r="F212" s="18" t="s">
        <v>9</v>
      </c>
      <c r="G212" s="19">
        <v>8</v>
      </c>
    </row>
    <row r="213" spans="2:7" ht="12.75">
      <c r="B213" s="20" t="s">
        <v>56</v>
      </c>
      <c r="C213" s="21"/>
      <c r="D213" s="40" t="s">
        <v>31</v>
      </c>
      <c r="E213" s="41">
        <v>83</v>
      </c>
      <c r="F213" s="24" t="s">
        <v>12</v>
      </c>
      <c r="G213" s="25"/>
    </row>
    <row r="214" spans="2:7" ht="12.75">
      <c r="B214" s="20"/>
      <c r="C214" s="21"/>
      <c r="D214" s="22" t="s">
        <v>85</v>
      </c>
      <c r="E214" s="42">
        <v>83</v>
      </c>
      <c r="F214" s="24" t="s">
        <v>14</v>
      </c>
      <c r="G214" s="25"/>
    </row>
    <row r="215" spans="2:7" ht="12.75">
      <c r="B215" s="20"/>
      <c r="C215" s="21"/>
      <c r="D215" s="22" t="s">
        <v>38</v>
      </c>
      <c r="E215" s="42">
        <v>76</v>
      </c>
      <c r="F215" s="33" t="s">
        <v>16</v>
      </c>
      <c r="G215" s="25"/>
    </row>
    <row r="216" spans="2:7" ht="12.75">
      <c r="B216" s="20"/>
      <c r="C216" s="21"/>
      <c r="D216" s="22" t="s">
        <v>46</v>
      </c>
      <c r="E216" s="42">
        <v>76</v>
      </c>
      <c r="F216" s="33" t="s">
        <v>18</v>
      </c>
      <c r="G216" s="25"/>
    </row>
    <row r="217" spans="2:7" ht="12.75">
      <c r="B217" s="20"/>
      <c r="C217" s="21"/>
      <c r="D217" s="22" t="s">
        <v>19</v>
      </c>
      <c r="E217" s="42">
        <v>60</v>
      </c>
      <c r="F217" s="33" t="s">
        <v>20</v>
      </c>
      <c r="G217" s="25"/>
    </row>
    <row r="218" spans="2:7" ht="12.75">
      <c r="B218" s="20"/>
      <c r="C218" s="21"/>
      <c r="D218" s="22" t="s">
        <v>57</v>
      </c>
      <c r="E218" s="42">
        <v>58</v>
      </c>
      <c r="F218" s="33" t="s">
        <v>22</v>
      </c>
      <c r="G218" s="25"/>
    </row>
    <row r="219" spans="2:7" ht="12.75">
      <c r="B219" s="20"/>
      <c r="C219" s="21"/>
      <c r="D219" s="22" t="s">
        <v>43</v>
      </c>
      <c r="E219" s="42">
        <v>54</v>
      </c>
      <c r="F219" s="33" t="s">
        <v>50</v>
      </c>
      <c r="G219" s="25"/>
    </row>
    <row r="220" spans="2:7" ht="12.75">
      <c r="B220" s="14" t="s">
        <v>60</v>
      </c>
      <c r="C220" s="15">
        <v>43596</v>
      </c>
      <c r="D220" s="16" t="s">
        <v>61</v>
      </c>
      <c r="E220" s="17">
        <v>59</v>
      </c>
      <c r="F220" s="18" t="s">
        <v>9</v>
      </c>
      <c r="G220" s="19">
        <v>2</v>
      </c>
    </row>
    <row r="221" spans="2:7" ht="12.75">
      <c r="B221" s="20" t="s">
        <v>59</v>
      </c>
      <c r="C221" s="21"/>
      <c r="D221" s="40" t="s">
        <v>76</v>
      </c>
      <c r="E221" s="41">
        <v>29</v>
      </c>
      <c r="F221" s="33" t="s">
        <v>12</v>
      </c>
      <c r="G221" s="25"/>
    </row>
    <row r="222" spans="2:7" ht="12.75">
      <c r="B222" s="14" t="s">
        <v>60</v>
      </c>
      <c r="C222" s="15">
        <v>43596</v>
      </c>
      <c r="D222" s="16" t="s">
        <v>97</v>
      </c>
      <c r="E222" s="17">
        <v>33</v>
      </c>
      <c r="F222" s="18" t="s">
        <v>9</v>
      </c>
      <c r="G222" s="19">
        <v>1</v>
      </c>
    </row>
    <row r="223" spans="2:7" ht="12.75">
      <c r="B223" s="27" t="s">
        <v>62</v>
      </c>
      <c r="C223" s="28"/>
      <c r="D223" s="43"/>
      <c r="E223" s="44"/>
      <c r="F223" s="31"/>
      <c r="G223" s="32"/>
    </row>
    <row r="224" spans="2:7" ht="12.75">
      <c r="B224" s="10" t="s">
        <v>1</v>
      </c>
      <c r="C224" s="11" t="s">
        <v>2</v>
      </c>
      <c r="D224" s="12" t="s">
        <v>3</v>
      </c>
      <c r="E224" s="12" t="s">
        <v>4</v>
      </c>
      <c r="F224" s="12" t="s">
        <v>5</v>
      </c>
      <c r="G224" s="13" t="s">
        <v>6</v>
      </c>
    </row>
    <row r="225" spans="2:7" ht="12.75">
      <c r="B225" s="14" t="s">
        <v>63</v>
      </c>
      <c r="C225" s="15">
        <v>43603</v>
      </c>
      <c r="D225" s="16" t="s">
        <v>65</v>
      </c>
      <c r="E225" s="17">
        <v>195</v>
      </c>
      <c r="F225" s="18" t="s">
        <v>9</v>
      </c>
      <c r="G225" s="19">
        <v>7</v>
      </c>
    </row>
    <row r="226" spans="2:7" ht="12.75">
      <c r="B226" s="20" t="s">
        <v>88</v>
      </c>
      <c r="C226" s="21"/>
      <c r="D226" s="40" t="s">
        <v>64</v>
      </c>
      <c r="E226" s="41">
        <v>193</v>
      </c>
      <c r="F226" s="24" t="s">
        <v>12</v>
      </c>
      <c r="G226" s="25"/>
    </row>
    <row r="227" spans="2:7" ht="12.75">
      <c r="B227" s="20"/>
      <c r="C227" s="21"/>
      <c r="D227" s="22" t="s">
        <v>98</v>
      </c>
      <c r="E227" s="42">
        <v>188</v>
      </c>
      <c r="F227" s="24" t="s">
        <v>14</v>
      </c>
      <c r="G227" s="25"/>
    </row>
    <row r="228" spans="2:7" ht="12.75">
      <c r="B228" s="20"/>
      <c r="C228" s="21"/>
      <c r="D228" s="22" t="s">
        <v>99</v>
      </c>
      <c r="E228" s="42">
        <v>188</v>
      </c>
      <c r="F228" s="33" t="s">
        <v>16</v>
      </c>
      <c r="G228" s="25"/>
    </row>
    <row r="229" spans="2:7" ht="12.75">
      <c r="B229" s="20"/>
      <c r="C229" s="21"/>
      <c r="D229" s="22" t="s">
        <v>23</v>
      </c>
      <c r="E229" s="42">
        <v>184</v>
      </c>
      <c r="F229" s="33" t="s">
        <v>18</v>
      </c>
      <c r="G229" s="25"/>
    </row>
    <row r="230" spans="2:7" ht="12.75">
      <c r="B230" s="20"/>
      <c r="C230" s="21"/>
      <c r="D230" s="22" t="s">
        <v>41</v>
      </c>
      <c r="E230" s="42">
        <v>183</v>
      </c>
      <c r="F230" s="33" t="s">
        <v>20</v>
      </c>
      <c r="G230" s="25"/>
    </row>
    <row r="231" spans="2:7" ht="12.75">
      <c r="B231" s="20"/>
      <c r="C231" s="21"/>
      <c r="D231" s="22" t="s">
        <v>31</v>
      </c>
      <c r="E231" s="42">
        <v>156</v>
      </c>
      <c r="F231" s="33" t="s">
        <v>22</v>
      </c>
      <c r="G231" s="25"/>
    </row>
    <row r="232" spans="2:7" ht="12.75">
      <c r="B232" s="14" t="s">
        <v>63</v>
      </c>
      <c r="C232" s="15">
        <v>43603</v>
      </c>
      <c r="D232" s="16" t="s">
        <v>69</v>
      </c>
      <c r="E232" s="17">
        <v>168</v>
      </c>
      <c r="F232" s="47" t="s">
        <v>9</v>
      </c>
      <c r="G232" s="19">
        <v>1</v>
      </c>
    </row>
    <row r="233" spans="2:7" ht="12.75">
      <c r="B233" s="20" t="s">
        <v>59</v>
      </c>
      <c r="C233" s="21"/>
      <c r="D233" s="40"/>
      <c r="E233" s="41"/>
      <c r="F233" s="33"/>
      <c r="G233" s="25"/>
    </row>
    <row r="234" spans="2:7" ht="12.75">
      <c r="B234" s="14" t="s">
        <v>63</v>
      </c>
      <c r="C234" s="15">
        <v>43603</v>
      </c>
      <c r="D234" s="16" t="s">
        <v>70</v>
      </c>
      <c r="E234" s="17">
        <v>175</v>
      </c>
      <c r="F234" s="18" t="s">
        <v>9</v>
      </c>
      <c r="G234" s="19">
        <v>1</v>
      </c>
    </row>
    <row r="235" spans="2:7" ht="12.75">
      <c r="B235" s="27" t="s">
        <v>93</v>
      </c>
      <c r="C235" s="28"/>
      <c r="D235" s="43"/>
      <c r="E235" s="44"/>
      <c r="F235" s="31"/>
      <c r="G235" s="32"/>
    </row>
    <row r="236" spans="2:7" ht="12.75">
      <c r="B236" s="10" t="s">
        <v>1</v>
      </c>
      <c r="C236" s="11" t="s">
        <v>2</v>
      </c>
      <c r="D236" s="12" t="s">
        <v>3</v>
      </c>
      <c r="E236" s="12" t="s">
        <v>4</v>
      </c>
      <c r="F236" s="12" t="s">
        <v>5</v>
      </c>
      <c r="G236" s="13" t="s">
        <v>6</v>
      </c>
    </row>
    <row r="237" spans="2:8" ht="12.75">
      <c r="B237" s="14" t="s">
        <v>37</v>
      </c>
      <c r="C237" s="15">
        <v>43604</v>
      </c>
      <c r="D237" s="16" t="s">
        <v>86</v>
      </c>
      <c r="E237" s="48" t="s">
        <v>100</v>
      </c>
      <c r="F237" s="18" t="s">
        <v>9</v>
      </c>
      <c r="G237" s="19">
        <v>11</v>
      </c>
      <c r="H237" s="49">
        <v>45.97</v>
      </c>
    </row>
    <row r="238" spans="2:8" ht="12.75">
      <c r="B238" s="20" t="s">
        <v>39</v>
      </c>
      <c r="C238" s="21"/>
      <c r="D238" s="22" t="s">
        <v>31</v>
      </c>
      <c r="E238" s="50" t="s">
        <v>101</v>
      </c>
      <c r="F238" s="24" t="s">
        <v>12</v>
      </c>
      <c r="G238" s="25"/>
      <c r="H238" s="51">
        <v>47.19</v>
      </c>
    </row>
    <row r="239" spans="2:8" ht="12.75">
      <c r="B239" s="20"/>
      <c r="C239" s="21"/>
      <c r="D239" s="22" t="s">
        <v>85</v>
      </c>
      <c r="E239" s="50" t="s">
        <v>102</v>
      </c>
      <c r="F239" s="24" t="s">
        <v>14</v>
      </c>
      <c r="G239" s="25"/>
      <c r="H239" s="51">
        <v>51.97</v>
      </c>
    </row>
    <row r="240" spans="2:8" ht="12.75">
      <c r="B240" s="20"/>
      <c r="C240" s="21"/>
      <c r="D240" s="22" t="s">
        <v>103</v>
      </c>
      <c r="E240" s="50" t="s">
        <v>104</v>
      </c>
      <c r="F240" s="26" t="s">
        <v>16</v>
      </c>
      <c r="G240" s="25"/>
      <c r="H240" s="51">
        <v>53.1</v>
      </c>
    </row>
    <row r="241" spans="2:8" ht="12.75">
      <c r="B241" s="20"/>
      <c r="C241" s="21"/>
      <c r="D241" s="22" t="s">
        <v>41</v>
      </c>
      <c r="E241" s="50" t="s">
        <v>105</v>
      </c>
      <c r="F241" s="26" t="s">
        <v>18</v>
      </c>
      <c r="G241" s="25"/>
      <c r="H241" s="51">
        <v>57.88</v>
      </c>
    </row>
    <row r="242" spans="2:8" ht="12.75">
      <c r="B242" s="20"/>
      <c r="C242" s="21"/>
      <c r="D242" s="22" t="s">
        <v>106</v>
      </c>
      <c r="E242" s="50" t="s">
        <v>107</v>
      </c>
      <c r="F242" s="26" t="s">
        <v>20</v>
      </c>
      <c r="G242" s="25"/>
      <c r="H242" s="51">
        <v>69.38</v>
      </c>
    </row>
    <row r="243" spans="2:8" ht="12.75">
      <c r="B243" s="20"/>
      <c r="C243" s="21"/>
      <c r="D243" s="22" t="s">
        <v>83</v>
      </c>
      <c r="E243" s="50" t="s">
        <v>108</v>
      </c>
      <c r="F243" s="26" t="s">
        <v>22</v>
      </c>
      <c r="G243" s="25"/>
      <c r="H243" s="51">
        <v>78.52</v>
      </c>
    </row>
    <row r="244" spans="2:8" ht="12.75">
      <c r="B244" s="20"/>
      <c r="C244" s="21"/>
      <c r="D244" s="22" t="s">
        <v>109</v>
      </c>
      <c r="E244" s="50" t="s">
        <v>110</v>
      </c>
      <c r="F244" s="26" t="s">
        <v>50</v>
      </c>
      <c r="G244" s="25"/>
      <c r="H244" s="51">
        <v>83.08</v>
      </c>
    </row>
    <row r="245" spans="2:8" ht="12.75">
      <c r="B245" s="20"/>
      <c r="C245" s="21"/>
      <c r="D245" s="22" t="s">
        <v>43</v>
      </c>
      <c r="E245" s="50" t="s">
        <v>111</v>
      </c>
      <c r="F245" s="26" t="s">
        <v>51</v>
      </c>
      <c r="G245" s="25"/>
      <c r="H245" s="51">
        <v>98.95</v>
      </c>
    </row>
    <row r="246" spans="2:8" ht="12.75">
      <c r="B246" s="20"/>
      <c r="C246" s="21"/>
      <c r="D246" s="22" t="s">
        <v>112</v>
      </c>
      <c r="E246" s="50" t="s">
        <v>113</v>
      </c>
      <c r="F246" s="26" t="s">
        <v>67</v>
      </c>
      <c r="G246" s="25"/>
      <c r="H246" s="51">
        <v>108.38</v>
      </c>
    </row>
    <row r="247" spans="2:8" ht="12.75">
      <c r="B247" s="20"/>
      <c r="C247" s="21"/>
      <c r="D247" s="22" t="s">
        <v>114</v>
      </c>
      <c r="E247" s="50" t="s">
        <v>115</v>
      </c>
      <c r="F247" s="26" t="s">
        <v>75</v>
      </c>
      <c r="G247" s="25"/>
      <c r="H247" s="51">
        <v>108.5</v>
      </c>
    </row>
    <row r="248" spans="2:8" ht="12.75">
      <c r="B248" s="14" t="s">
        <v>37</v>
      </c>
      <c r="C248" s="15">
        <v>43604</v>
      </c>
      <c r="D248" s="16" t="s">
        <v>44</v>
      </c>
      <c r="E248" s="48" t="s">
        <v>116</v>
      </c>
      <c r="F248" s="18" t="s">
        <v>9</v>
      </c>
      <c r="G248" s="19">
        <v>6</v>
      </c>
      <c r="H248" s="49">
        <v>52.29</v>
      </c>
    </row>
    <row r="249" spans="2:8" ht="12.75">
      <c r="B249" s="20" t="s">
        <v>45</v>
      </c>
      <c r="C249" s="21"/>
      <c r="D249" s="22" t="s">
        <v>19</v>
      </c>
      <c r="E249" s="50" t="s">
        <v>117</v>
      </c>
      <c r="F249" s="24" t="s">
        <v>12</v>
      </c>
      <c r="G249" s="25"/>
      <c r="H249" s="51">
        <v>63.82</v>
      </c>
    </row>
    <row r="250" spans="2:8" ht="12.75">
      <c r="B250" s="20"/>
      <c r="C250" s="21"/>
      <c r="D250" s="22" t="s">
        <v>8</v>
      </c>
      <c r="E250" s="50" t="s">
        <v>118</v>
      </c>
      <c r="F250" s="33" t="s">
        <v>14</v>
      </c>
      <c r="G250" s="25"/>
      <c r="H250" s="51">
        <v>70.67</v>
      </c>
    </row>
    <row r="251" spans="2:8" ht="12.75">
      <c r="B251" s="20"/>
      <c r="C251" s="21"/>
      <c r="D251" s="22" t="s">
        <v>47</v>
      </c>
      <c r="E251" s="50" t="s">
        <v>119</v>
      </c>
      <c r="F251" s="26" t="s">
        <v>16</v>
      </c>
      <c r="G251" s="25"/>
      <c r="H251" s="51">
        <v>85.47</v>
      </c>
    </row>
    <row r="252" spans="2:8" ht="12.75">
      <c r="B252" s="20"/>
      <c r="C252" s="21"/>
      <c r="D252" s="22" t="s">
        <v>74</v>
      </c>
      <c r="E252" s="50" t="s">
        <v>120</v>
      </c>
      <c r="F252" s="26" t="s">
        <v>18</v>
      </c>
      <c r="G252" s="25"/>
      <c r="H252" s="51">
        <v>96.7</v>
      </c>
    </row>
    <row r="253" spans="2:8" ht="12.75">
      <c r="B253" s="20"/>
      <c r="C253" s="21"/>
      <c r="D253" s="22" t="s">
        <v>46</v>
      </c>
      <c r="E253" s="50" t="s">
        <v>121</v>
      </c>
      <c r="F253" s="26" t="s">
        <v>20</v>
      </c>
      <c r="G253" s="25"/>
      <c r="H253" s="51">
        <v>0</v>
      </c>
    </row>
    <row r="254" spans="2:8" ht="12.75">
      <c r="B254" s="14" t="s">
        <v>37</v>
      </c>
      <c r="C254" s="15">
        <v>43604</v>
      </c>
      <c r="D254" s="16" t="s">
        <v>61</v>
      </c>
      <c r="E254" s="48" t="s">
        <v>100</v>
      </c>
      <c r="F254" s="18" t="s">
        <v>9</v>
      </c>
      <c r="G254" s="19">
        <v>1</v>
      </c>
      <c r="H254" s="49">
        <v>48.23</v>
      </c>
    </row>
    <row r="255" spans="2:8" ht="12.75">
      <c r="B255" s="27" t="s">
        <v>53</v>
      </c>
      <c r="C255" s="28"/>
      <c r="D255" s="29"/>
      <c r="E255" s="52"/>
      <c r="F255" s="31"/>
      <c r="G255" s="32"/>
      <c r="H255" s="53"/>
    </row>
    <row r="256" spans="2:7" ht="12.75">
      <c r="B256" s="10" t="s">
        <v>1</v>
      </c>
      <c r="C256" s="11" t="s">
        <v>2</v>
      </c>
      <c r="D256" s="12" t="s">
        <v>3</v>
      </c>
      <c r="E256" s="12" t="s">
        <v>4</v>
      </c>
      <c r="F256" s="12" t="s">
        <v>5</v>
      </c>
      <c r="G256" s="13" t="s">
        <v>6</v>
      </c>
    </row>
    <row r="257" spans="2:8" ht="12.75">
      <c r="B257" s="14" t="s">
        <v>37</v>
      </c>
      <c r="C257" s="15">
        <v>43610</v>
      </c>
      <c r="D257" s="54" t="s">
        <v>31</v>
      </c>
      <c r="E257" s="55" t="s">
        <v>100</v>
      </c>
      <c r="F257" s="18" t="s">
        <v>9</v>
      </c>
      <c r="G257" s="19">
        <v>12</v>
      </c>
      <c r="H257" s="56">
        <v>29.86</v>
      </c>
    </row>
    <row r="258" spans="2:8" ht="12.75">
      <c r="B258" s="20" t="s">
        <v>39</v>
      </c>
      <c r="C258" s="21"/>
      <c r="D258" s="57" t="s">
        <v>122</v>
      </c>
      <c r="E258" s="58" t="s">
        <v>123</v>
      </c>
      <c r="F258" s="24" t="s">
        <v>12</v>
      </c>
      <c r="G258" s="25"/>
      <c r="H258" s="59">
        <v>30.26</v>
      </c>
    </row>
    <row r="259" spans="2:8" ht="12.75">
      <c r="B259" s="60" t="s">
        <v>124</v>
      </c>
      <c r="C259" s="21"/>
      <c r="D259" s="57" t="s">
        <v>85</v>
      </c>
      <c r="E259" s="58" t="s">
        <v>125</v>
      </c>
      <c r="F259" s="24" t="s">
        <v>14</v>
      </c>
      <c r="G259" s="25"/>
      <c r="H259" s="59">
        <v>34.65</v>
      </c>
    </row>
    <row r="260" spans="2:8" ht="12.75">
      <c r="B260" s="60" t="s">
        <v>126</v>
      </c>
      <c r="C260" s="21"/>
      <c r="D260" s="57" t="s">
        <v>103</v>
      </c>
      <c r="E260" s="58" t="s">
        <v>127</v>
      </c>
      <c r="F260" s="61" t="s">
        <v>16</v>
      </c>
      <c r="G260" s="25"/>
      <c r="H260" s="59">
        <v>39.02</v>
      </c>
    </row>
    <row r="261" spans="2:8" ht="12.75">
      <c r="B261" s="20"/>
      <c r="C261" s="21"/>
      <c r="D261" s="57" t="s">
        <v>86</v>
      </c>
      <c r="E261" s="58" t="s">
        <v>128</v>
      </c>
      <c r="F261" s="61" t="s">
        <v>18</v>
      </c>
      <c r="G261" s="25"/>
      <c r="H261" s="59">
        <v>41.62</v>
      </c>
    </row>
    <row r="262" spans="2:8" ht="12.75">
      <c r="B262" s="20"/>
      <c r="C262" s="21"/>
      <c r="D262" s="57" t="s">
        <v>129</v>
      </c>
      <c r="E262" s="58" t="s">
        <v>130</v>
      </c>
      <c r="F262" s="26" t="s">
        <v>20</v>
      </c>
      <c r="G262" s="25"/>
      <c r="H262" s="59">
        <v>42.28</v>
      </c>
    </row>
    <row r="263" spans="2:8" ht="12.75">
      <c r="B263" s="20"/>
      <c r="C263" s="21"/>
      <c r="D263" s="57" t="s">
        <v>41</v>
      </c>
      <c r="E263" s="58" t="s">
        <v>131</v>
      </c>
      <c r="F263" s="26" t="s">
        <v>22</v>
      </c>
      <c r="G263" s="25"/>
      <c r="H263" s="59">
        <v>48.55</v>
      </c>
    </row>
    <row r="264" spans="2:8" ht="12.75">
      <c r="B264" s="20"/>
      <c r="C264" s="21"/>
      <c r="D264" s="57" t="s">
        <v>132</v>
      </c>
      <c r="E264" s="58" t="s">
        <v>133</v>
      </c>
      <c r="F264" s="26" t="s">
        <v>50</v>
      </c>
      <c r="G264" s="25"/>
      <c r="H264" s="59">
        <v>48.72</v>
      </c>
    </row>
    <row r="265" spans="2:8" ht="12.75">
      <c r="B265" s="20"/>
      <c r="C265" s="21"/>
      <c r="D265" s="57" t="s">
        <v>134</v>
      </c>
      <c r="E265" s="58" t="s">
        <v>135</v>
      </c>
      <c r="F265" s="26" t="s">
        <v>51</v>
      </c>
      <c r="G265" s="25"/>
      <c r="H265" s="59">
        <v>68.25</v>
      </c>
    </row>
    <row r="266" spans="2:8" ht="12.75">
      <c r="B266" s="20"/>
      <c r="C266" s="21"/>
      <c r="D266" s="57" t="s">
        <v>40</v>
      </c>
      <c r="E266" s="58" t="s">
        <v>136</v>
      </c>
      <c r="F266" s="26" t="s">
        <v>67</v>
      </c>
      <c r="G266" s="25"/>
      <c r="H266" s="59">
        <v>71.59</v>
      </c>
    </row>
    <row r="267" spans="2:8" ht="12.75">
      <c r="B267" s="20"/>
      <c r="C267" s="21"/>
      <c r="D267" s="57" t="s">
        <v>137</v>
      </c>
      <c r="E267" s="58" t="s">
        <v>138</v>
      </c>
      <c r="F267" s="26" t="s">
        <v>75</v>
      </c>
      <c r="G267" s="25"/>
      <c r="H267" s="59">
        <v>79.92</v>
      </c>
    </row>
    <row r="268" spans="2:8" ht="12.75">
      <c r="B268" s="20"/>
      <c r="C268" s="21"/>
      <c r="D268" s="62" t="s">
        <v>43</v>
      </c>
      <c r="E268" s="63" t="s">
        <v>139</v>
      </c>
      <c r="F268" s="26" t="s">
        <v>77</v>
      </c>
      <c r="G268" s="25"/>
      <c r="H268" s="64">
        <v>90.1</v>
      </c>
    </row>
    <row r="269" spans="2:8" ht="12.75">
      <c r="B269" s="14" t="s">
        <v>37</v>
      </c>
      <c r="C269" s="15">
        <v>43610</v>
      </c>
      <c r="D269" s="65" t="s">
        <v>44</v>
      </c>
      <c r="E269" s="66" t="s">
        <v>100</v>
      </c>
      <c r="F269" s="18" t="s">
        <v>9</v>
      </c>
      <c r="G269" s="19">
        <v>16</v>
      </c>
      <c r="H269" s="67">
        <v>38.35</v>
      </c>
    </row>
    <row r="270" spans="2:8" ht="12.75">
      <c r="B270" s="20" t="s">
        <v>45</v>
      </c>
      <c r="C270" s="21"/>
      <c r="D270" s="57" t="s">
        <v>23</v>
      </c>
      <c r="E270" s="58" t="s">
        <v>140</v>
      </c>
      <c r="F270" s="24" t="s">
        <v>12</v>
      </c>
      <c r="G270" s="25"/>
      <c r="H270" s="68">
        <v>43</v>
      </c>
    </row>
    <row r="271" spans="2:8" ht="12.75">
      <c r="B271" s="60" t="s">
        <v>124</v>
      </c>
      <c r="C271" s="21"/>
      <c r="D271" s="57" t="s">
        <v>141</v>
      </c>
      <c r="E271" s="58" t="s">
        <v>142</v>
      </c>
      <c r="F271" s="24" t="s">
        <v>14</v>
      </c>
      <c r="G271" s="25"/>
      <c r="H271" s="68">
        <v>55.6</v>
      </c>
    </row>
    <row r="272" spans="2:8" ht="12.75">
      <c r="B272" s="60" t="s">
        <v>126</v>
      </c>
      <c r="C272" s="21"/>
      <c r="D272" s="57" t="s">
        <v>46</v>
      </c>
      <c r="E272" s="58" t="s">
        <v>143</v>
      </c>
      <c r="F272" s="61" t="s">
        <v>16</v>
      </c>
      <c r="G272" s="25"/>
      <c r="H272" s="68">
        <v>57.47</v>
      </c>
    </row>
    <row r="273" spans="2:8" ht="12.75">
      <c r="B273" s="20"/>
      <c r="C273" s="21"/>
      <c r="D273" s="57" t="s">
        <v>19</v>
      </c>
      <c r="E273" s="58" t="s">
        <v>144</v>
      </c>
      <c r="F273" s="61" t="s">
        <v>18</v>
      </c>
      <c r="G273" s="25"/>
      <c r="H273" s="68">
        <v>60.45</v>
      </c>
    </row>
    <row r="274" spans="2:8" ht="12.75">
      <c r="B274" s="20"/>
      <c r="C274" s="21"/>
      <c r="D274" s="57" t="s">
        <v>61</v>
      </c>
      <c r="E274" s="58" t="s">
        <v>145</v>
      </c>
      <c r="F274" s="26" t="s">
        <v>20</v>
      </c>
      <c r="G274" s="25"/>
      <c r="H274" s="68">
        <v>64.86</v>
      </c>
    </row>
    <row r="275" spans="2:8" ht="12.75">
      <c r="B275" s="20"/>
      <c r="C275" s="21"/>
      <c r="D275" s="57" t="s">
        <v>48</v>
      </c>
      <c r="E275" s="58" t="s">
        <v>146</v>
      </c>
      <c r="F275" s="26" t="s">
        <v>22</v>
      </c>
      <c r="G275" s="25"/>
      <c r="H275" s="68">
        <v>69.89</v>
      </c>
    </row>
    <row r="276" spans="2:8" ht="12.75">
      <c r="B276" s="20"/>
      <c r="C276" s="21"/>
      <c r="D276" s="57" t="s">
        <v>32</v>
      </c>
      <c r="E276" s="58" t="s">
        <v>147</v>
      </c>
      <c r="F276" s="26" t="s">
        <v>50</v>
      </c>
      <c r="G276" s="25"/>
      <c r="H276" s="68">
        <v>71.33</v>
      </c>
    </row>
    <row r="277" spans="2:8" ht="12.75">
      <c r="B277" s="20"/>
      <c r="C277" s="21"/>
      <c r="D277" s="57" t="s">
        <v>65</v>
      </c>
      <c r="E277" s="58" t="s">
        <v>148</v>
      </c>
      <c r="F277" s="26" t="s">
        <v>51</v>
      </c>
      <c r="G277" s="25"/>
      <c r="H277" s="68">
        <v>88.06</v>
      </c>
    </row>
    <row r="278" spans="2:8" ht="12.75">
      <c r="B278" s="20"/>
      <c r="C278" s="21"/>
      <c r="D278" s="57" t="s">
        <v>70</v>
      </c>
      <c r="E278" s="58" t="s">
        <v>149</v>
      </c>
      <c r="F278" s="26" t="s">
        <v>67</v>
      </c>
      <c r="G278" s="25"/>
      <c r="H278" s="68">
        <v>91.64</v>
      </c>
    </row>
    <row r="279" spans="2:8" ht="12.75">
      <c r="B279" s="20"/>
      <c r="C279" s="21"/>
      <c r="D279" s="57" t="s">
        <v>150</v>
      </c>
      <c r="E279" s="58" t="s">
        <v>151</v>
      </c>
      <c r="F279" s="26" t="s">
        <v>75</v>
      </c>
      <c r="G279" s="25"/>
      <c r="H279" s="68">
        <v>92.66</v>
      </c>
    </row>
    <row r="280" spans="2:8" ht="12.75">
      <c r="B280" s="20"/>
      <c r="C280" s="21"/>
      <c r="D280" s="57" t="s">
        <v>47</v>
      </c>
      <c r="E280" s="58" t="s">
        <v>152</v>
      </c>
      <c r="F280" s="26" t="s">
        <v>77</v>
      </c>
      <c r="G280" s="25"/>
      <c r="H280" s="68">
        <v>97.21</v>
      </c>
    </row>
    <row r="281" spans="2:8" ht="12.75">
      <c r="B281" s="20"/>
      <c r="C281" s="21"/>
      <c r="D281" s="57" t="s">
        <v>153</v>
      </c>
      <c r="E281" s="58" t="s">
        <v>154</v>
      </c>
      <c r="F281" s="26" t="s">
        <v>155</v>
      </c>
      <c r="G281" s="25"/>
      <c r="H281" s="68">
        <v>101.39</v>
      </c>
    </row>
    <row r="282" spans="2:8" ht="12.75">
      <c r="B282" s="20"/>
      <c r="C282" s="21"/>
      <c r="D282" s="57" t="s">
        <v>74</v>
      </c>
      <c r="E282" s="58" t="s">
        <v>156</v>
      </c>
      <c r="F282" s="26" t="s">
        <v>157</v>
      </c>
      <c r="G282" s="25"/>
      <c r="H282" s="68">
        <v>103.16</v>
      </c>
    </row>
    <row r="283" spans="2:8" ht="12.75">
      <c r="B283" s="20"/>
      <c r="C283" s="21"/>
      <c r="D283" s="57" t="s">
        <v>80</v>
      </c>
      <c r="E283" s="58" t="s">
        <v>158</v>
      </c>
      <c r="F283" s="26" t="s">
        <v>159</v>
      </c>
      <c r="G283" s="25"/>
      <c r="H283" s="68">
        <v>121.73</v>
      </c>
    </row>
    <row r="284" spans="2:8" ht="12.75">
      <c r="B284" s="27"/>
      <c r="C284" s="28"/>
      <c r="D284" s="69" t="s">
        <v>160</v>
      </c>
      <c r="E284" s="70" t="s">
        <v>161</v>
      </c>
      <c r="F284" s="31" t="s">
        <v>162</v>
      </c>
      <c r="G284" s="32"/>
      <c r="H284" s="71">
        <v>163.99</v>
      </c>
    </row>
    <row r="285" spans="2:7" ht="12.75">
      <c r="B285" s="10" t="s">
        <v>1</v>
      </c>
      <c r="C285" s="11" t="s">
        <v>2</v>
      </c>
      <c r="D285" s="12" t="s">
        <v>3</v>
      </c>
      <c r="E285" s="12" t="s">
        <v>4</v>
      </c>
      <c r="F285" s="12" t="s">
        <v>5</v>
      </c>
      <c r="G285" s="13" t="s">
        <v>6</v>
      </c>
    </row>
    <row r="286" spans="2:7" ht="12.75">
      <c r="B286" s="14" t="s">
        <v>63</v>
      </c>
      <c r="C286" s="15">
        <v>43610</v>
      </c>
      <c r="D286" s="16" t="s">
        <v>64</v>
      </c>
      <c r="E286" s="17">
        <v>193</v>
      </c>
      <c r="F286" s="18" t="s">
        <v>9</v>
      </c>
      <c r="G286" s="19">
        <v>12</v>
      </c>
    </row>
    <row r="287" spans="2:7" ht="12.75">
      <c r="B287" s="20" t="s">
        <v>88</v>
      </c>
      <c r="C287" s="21"/>
      <c r="D287" s="40" t="s">
        <v>85</v>
      </c>
      <c r="E287" s="41">
        <v>192</v>
      </c>
      <c r="F287" s="24" t="s">
        <v>12</v>
      </c>
      <c r="G287" s="25"/>
    </row>
    <row r="288" spans="2:7" ht="12.75">
      <c r="B288" s="60" t="s">
        <v>124</v>
      </c>
      <c r="C288" s="21"/>
      <c r="D288" s="22" t="s">
        <v>163</v>
      </c>
      <c r="E288" s="42">
        <v>191</v>
      </c>
      <c r="F288" s="24" t="s">
        <v>14</v>
      </c>
      <c r="G288" s="25"/>
    </row>
    <row r="289" spans="2:7" ht="12.75">
      <c r="B289" s="60" t="s">
        <v>126</v>
      </c>
      <c r="C289" s="21"/>
      <c r="D289" s="22" t="s">
        <v>164</v>
      </c>
      <c r="E289" s="42">
        <v>191</v>
      </c>
      <c r="F289" s="24" t="s">
        <v>16</v>
      </c>
      <c r="G289" s="25"/>
    </row>
    <row r="290" spans="2:7" ht="12.75">
      <c r="B290" s="20"/>
      <c r="C290" s="21"/>
      <c r="D290" s="22" t="s">
        <v>65</v>
      </c>
      <c r="E290" s="42">
        <v>190</v>
      </c>
      <c r="F290" s="24" t="s">
        <v>18</v>
      </c>
      <c r="G290" s="25"/>
    </row>
    <row r="291" spans="2:7" ht="12.75">
      <c r="B291" s="20"/>
      <c r="C291" s="21"/>
      <c r="D291" s="22" t="s">
        <v>86</v>
      </c>
      <c r="E291" s="42">
        <v>188</v>
      </c>
      <c r="F291" s="33" t="s">
        <v>20</v>
      </c>
      <c r="G291" s="25"/>
    </row>
    <row r="292" spans="2:7" ht="12.75">
      <c r="B292" s="20"/>
      <c r="C292" s="21"/>
      <c r="D292" s="22" t="s">
        <v>165</v>
      </c>
      <c r="E292" s="42">
        <v>182</v>
      </c>
      <c r="F292" s="33" t="s">
        <v>22</v>
      </c>
      <c r="G292" s="25"/>
    </row>
    <row r="293" spans="2:7" ht="12.75">
      <c r="B293" s="20"/>
      <c r="C293" s="21"/>
      <c r="D293" s="22" t="s">
        <v>166</v>
      </c>
      <c r="E293" s="42">
        <v>182</v>
      </c>
      <c r="F293" s="33" t="s">
        <v>50</v>
      </c>
      <c r="G293" s="25"/>
    </row>
    <row r="294" spans="2:7" ht="12.75">
      <c r="B294" s="20"/>
      <c r="C294" s="21"/>
      <c r="D294" s="22" t="s">
        <v>167</v>
      </c>
      <c r="E294" s="42">
        <v>179</v>
      </c>
      <c r="F294" s="33" t="s">
        <v>51</v>
      </c>
      <c r="G294" s="25"/>
    </row>
    <row r="295" spans="2:7" ht="12.75">
      <c r="B295" s="20"/>
      <c r="C295" s="21"/>
      <c r="D295" s="22" t="s">
        <v>168</v>
      </c>
      <c r="E295" s="42">
        <v>179</v>
      </c>
      <c r="F295" s="33" t="s">
        <v>67</v>
      </c>
      <c r="G295" s="25"/>
    </row>
    <row r="296" spans="2:7" ht="12.75">
      <c r="B296" s="20"/>
      <c r="C296" s="21"/>
      <c r="D296" s="22" t="s">
        <v>31</v>
      </c>
      <c r="E296" s="42">
        <v>177</v>
      </c>
      <c r="F296" s="33" t="s">
        <v>75</v>
      </c>
      <c r="G296" s="25"/>
    </row>
    <row r="297" spans="2:7" ht="12.75">
      <c r="B297" s="20"/>
      <c r="C297" s="21"/>
      <c r="D297" s="22" t="s">
        <v>41</v>
      </c>
      <c r="E297" s="42">
        <v>176</v>
      </c>
      <c r="F297" s="33" t="s">
        <v>77</v>
      </c>
      <c r="G297" s="25"/>
    </row>
    <row r="298" spans="2:7" ht="12.75">
      <c r="B298" s="14" t="s">
        <v>63</v>
      </c>
      <c r="C298" s="15">
        <v>43610</v>
      </c>
      <c r="D298" s="16" t="s">
        <v>48</v>
      </c>
      <c r="E298" s="17">
        <v>190</v>
      </c>
      <c r="F298" s="18" t="s">
        <v>9</v>
      </c>
      <c r="G298" s="19">
        <v>9</v>
      </c>
    </row>
    <row r="299" spans="2:7" ht="12.75">
      <c r="B299" s="20" t="s">
        <v>59</v>
      </c>
      <c r="C299" s="21"/>
      <c r="D299" s="40" t="s">
        <v>132</v>
      </c>
      <c r="E299" s="41">
        <v>185</v>
      </c>
      <c r="F299" s="24" t="s">
        <v>12</v>
      </c>
      <c r="G299" s="25"/>
    </row>
    <row r="300" spans="2:7" ht="12.75">
      <c r="B300" s="60" t="s">
        <v>124</v>
      </c>
      <c r="C300" s="21"/>
      <c r="D300" s="22" t="s">
        <v>70</v>
      </c>
      <c r="E300" s="42">
        <v>184</v>
      </c>
      <c r="F300" s="24" t="s">
        <v>14</v>
      </c>
      <c r="G300" s="25"/>
    </row>
    <row r="301" spans="2:7" ht="12.75">
      <c r="B301" s="60" t="s">
        <v>126</v>
      </c>
      <c r="C301" s="21"/>
      <c r="D301" s="22" t="s">
        <v>141</v>
      </c>
      <c r="E301" s="42">
        <v>175</v>
      </c>
      <c r="F301" s="24" t="s">
        <v>16</v>
      </c>
      <c r="G301" s="25"/>
    </row>
    <row r="302" spans="2:7" ht="12.75">
      <c r="B302" s="20"/>
      <c r="C302" s="21"/>
      <c r="D302" s="22" t="s">
        <v>169</v>
      </c>
      <c r="E302" s="42">
        <v>174</v>
      </c>
      <c r="F302" s="24" t="s">
        <v>18</v>
      </c>
      <c r="G302" s="25"/>
    </row>
    <row r="303" spans="2:7" ht="12.75">
      <c r="B303" s="20"/>
      <c r="C303" s="21"/>
      <c r="D303" s="22" t="s">
        <v>170</v>
      </c>
      <c r="E303" s="42">
        <v>174</v>
      </c>
      <c r="F303" s="33" t="s">
        <v>20</v>
      </c>
      <c r="G303" s="25"/>
    </row>
    <row r="304" spans="2:7" ht="12.75">
      <c r="B304" s="20"/>
      <c r="C304" s="21"/>
      <c r="D304" s="22" t="s">
        <v>44</v>
      </c>
      <c r="E304" s="42">
        <v>172</v>
      </c>
      <c r="F304" s="33" t="s">
        <v>22</v>
      </c>
      <c r="G304" s="25"/>
    </row>
    <row r="305" spans="2:7" ht="12.75">
      <c r="B305" s="20"/>
      <c r="C305" s="21"/>
      <c r="D305" s="22" t="s">
        <v>134</v>
      </c>
      <c r="E305" s="42">
        <v>121</v>
      </c>
      <c r="F305" s="33" t="s">
        <v>50</v>
      </c>
      <c r="G305" s="25"/>
    </row>
    <row r="306" spans="2:7" ht="12.75">
      <c r="B306" s="27"/>
      <c r="C306" s="28"/>
      <c r="D306" s="29" t="s">
        <v>69</v>
      </c>
      <c r="E306" s="44">
        <v>113</v>
      </c>
      <c r="F306" s="31" t="s">
        <v>51</v>
      </c>
      <c r="G306" s="32"/>
    </row>
    <row r="307" spans="2:7" ht="12.75">
      <c r="B307" s="10" t="s">
        <v>1</v>
      </c>
      <c r="C307" s="11" t="s">
        <v>2</v>
      </c>
      <c r="D307" s="12" t="s">
        <v>3</v>
      </c>
      <c r="E307" s="12" t="s">
        <v>4</v>
      </c>
      <c r="F307" s="12" t="s">
        <v>5</v>
      </c>
      <c r="G307" s="13" t="s">
        <v>6</v>
      </c>
    </row>
    <row r="308" spans="2:7" ht="12.75">
      <c r="B308" s="14" t="s">
        <v>27</v>
      </c>
      <c r="C308" s="15">
        <v>43610</v>
      </c>
      <c r="D308" s="16" t="s">
        <v>85</v>
      </c>
      <c r="E308" s="17">
        <v>170</v>
      </c>
      <c r="F308" s="18" t="s">
        <v>9</v>
      </c>
      <c r="G308" s="19">
        <v>14</v>
      </c>
    </row>
    <row r="309" spans="2:7" ht="12.75">
      <c r="B309" s="20" t="s">
        <v>29</v>
      </c>
      <c r="C309" s="21"/>
      <c r="D309" s="40" t="s">
        <v>13</v>
      </c>
      <c r="E309" s="41">
        <v>163</v>
      </c>
      <c r="F309" s="24" t="s">
        <v>12</v>
      </c>
      <c r="G309" s="25"/>
    </row>
    <row r="310" spans="2:7" ht="12.75">
      <c r="B310" s="60" t="s">
        <v>124</v>
      </c>
      <c r="C310" s="21"/>
      <c r="D310" s="22" t="s">
        <v>28</v>
      </c>
      <c r="E310" s="42">
        <v>162</v>
      </c>
      <c r="F310" s="24" t="s">
        <v>14</v>
      </c>
      <c r="G310" s="25"/>
    </row>
    <row r="311" spans="2:7" ht="12.75">
      <c r="B311" s="60" t="s">
        <v>126</v>
      </c>
      <c r="C311" s="21"/>
      <c r="D311" s="22" t="s">
        <v>40</v>
      </c>
      <c r="E311" s="42">
        <v>156</v>
      </c>
      <c r="F311" s="24" t="s">
        <v>16</v>
      </c>
      <c r="G311" s="25"/>
    </row>
    <row r="312" spans="2:7" ht="12.75">
      <c r="B312" s="20"/>
      <c r="C312" s="21"/>
      <c r="D312" s="22" t="s">
        <v>44</v>
      </c>
      <c r="E312" s="42">
        <v>152</v>
      </c>
      <c r="F312" s="24" t="s">
        <v>18</v>
      </c>
      <c r="G312" s="25"/>
    </row>
    <row r="313" spans="2:7" ht="12.75">
      <c r="B313" s="20"/>
      <c r="C313" s="21"/>
      <c r="D313" s="22" t="s">
        <v>32</v>
      </c>
      <c r="E313" s="42">
        <v>145</v>
      </c>
      <c r="F313" s="33" t="s">
        <v>20</v>
      </c>
      <c r="G313" s="25"/>
    </row>
    <row r="314" spans="2:7" ht="12.75">
      <c r="B314" s="20"/>
      <c r="C314" s="21"/>
      <c r="D314" s="22" t="s">
        <v>23</v>
      </c>
      <c r="E314" s="42">
        <v>122</v>
      </c>
      <c r="F314" s="33" t="s">
        <v>22</v>
      </c>
      <c r="G314" s="25"/>
    </row>
    <row r="315" spans="2:7" ht="12.75">
      <c r="B315" s="20"/>
      <c r="C315" s="21"/>
      <c r="D315" s="22" t="s">
        <v>171</v>
      </c>
      <c r="E315" s="42">
        <v>114</v>
      </c>
      <c r="F315" s="33" t="s">
        <v>50</v>
      </c>
      <c r="G315" s="25"/>
    </row>
    <row r="316" spans="2:7" ht="12.75">
      <c r="B316" s="20"/>
      <c r="C316" s="21"/>
      <c r="D316" s="22" t="s">
        <v>48</v>
      </c>
      <c r="E316" s="42">
        <v>100</v>
      </c>
      <c r="F316" s="33" t="s">
        <v>51</v>
      </c>
      <c r="G316" s="25"/>
    </row>
    <row r="317" spans="2:7" ht="12.75">
      <c r="B317" s="20"/>
      <c r="C317" s="21"/>
      <c r="D317" s="22" t="s">
        <v>19</v>
      </c>
      <c r="E317" s="42">
        <v>92</v>
      </c>
      <c r="F317" s="33" t="s">
        <v>67</v>
      </c>
      <c r="G317" s="25"/>
    </row>
    <row r="318" spans="2:7" ht="12.75">
      <c r="B318" s="20"/>
      <c r="C318" s="21"/>
      <c r="D318" s="22" t="s">
        <v>134</v>
      </c>
      <c r="E318" s="42">
        <v>82</v>
      </c>
      <c r="F318" s="33" t="s">
        <v>75</v>
      </c>
      <c r="G318" s="25"/>
    </row>
    <row r="319" spans="2:7" ht="12.75">
      <c r="B319" s="20"/>
      <c r="C319" s="21"/>
      <c r="D319" s="22" t="s">
        <v>153</v>
      </c>
      <c r="E319" s="42">
        <v>71</v>
      </c>
      <c r="F319" s="33" t="s">
        <v>77</v>
      </c>
      <c r="G319" s="25"/>
    </row>
    <row r="320" spans="2:7" ht="12.75">
      <c r="B320" s="20"/>
      <c r="C320" s="21"/>
      <c r="D320" s="22" t="s">
        <v>41</v>
      </c>
      <c r="E320" s="42">
        <v>71</v>
      </c>
      <c r="F320" s="33" t="s">
        <v>77</v>
      </c>
      <c r="G320" s="25"/>
    </row>
    <row r="321" spans="2:7" ht="12.75">
      <c r="B321" s="20"/>
      <c r="C321" s="21"/>
      <c r="D321" s="22" t="s">
        <v>46</v>
      </c>
      <c r="E321" s="42">
        <v>64</v>
      </c>
      <c r="F321" s="33" t="s">
        <v>157</v>
      </c>
      <c r="G321" s="25"/>
    </row>
    <row r="322" spans="2:7" ht="12.75">
      <c r="B322" s="14" t="s">
        <v>27</v>
      </c>
      <c r="C322" s="15">
        <v>43610</v>
      </c>
      <c r="D322" s="16" t="s">
        <v>28</v>
      </c>
      <c r="E322" s="17">
        <v>163</v>
      </c>
      <c r="F322" s="18" t="s">
        <v>9</v>
      </c>
      <c r="G322" s="19">
        <v>9</v>
      </c>
    </row>
    <row r="323" spans="2:7" ht="12.75">
      <c r="B323" s="20" t="s">
        <v>35</v>
      </c>
      <c r="C323" s="21"/>
      <c r="D323" s="40" t="s">
        <v>13</v>
      </c>
      <c r="E323" s="41">
        <v>159</v>
      </c>
      <c r="F323" s="24" t="s">
        <v>12</v>
      </c>
      <c r="G323" s="25"/>
    </row>
    <row r="324" spans="2:7" ht="12.75">
      <c r="B324" s="60" t="s">
        <v>124</v>
      </c>
      <c r="C324" s="21"/>
      <c r="D324" s="22" t="s">
        <v>85</v>
      </c>
      <c r="E324" s="42">
        <v>155</v>
      </c>
      <c r="F324" s="24" t="s">
        <v>14</v>
      </c>
      <c r="G324" s="25"/>
    </row>
    <row r="325" spans="2:7" ht="12.75">
      <c r="B325" s="60" t="s">
        <v>126</v>
      </c>
      <c r="C325" s="21"/>
      <c r="D325" s="22" t="s">
        <v>74</v>
      </c>
      <c r="E325" s="42">
        <v>136</v>
      </c>
      <c r="F325" s="24" t="s">
        <v>16</v>
      </c>
      <c r="G325" s="25"/>
    </row>
    <row r="326" spans="2:7" ht="12.75">
      <c r="B326" s="20"/>
      <c r="C326" s="21"/>
      <c r="D326" s="22" t="s">
        <v>31</v>
      </c>
      <c r="E326" s="42">
        <v>120</v>
      </c>
      <c r="F326" s="24" t="s">
        <v>18</v>
      </c>
      <c r="G326" s="25"/>
    </row>
    <row r="327" spans="2:7" ht="12.75">
      <c r="B327" s="20"/>
      <c r="C327" s="21"/>
      <c r="D327" s="22" t="s">
        <v>19</v>
      </c>
      <c r="E327" s="42">
        <v>97</v>
      </c>
      <c r="F327" s="33" t="s">
        <v>20</v>
      </c>
      <c r="G327" s="25"/>
    </row>
    <row r="328" spans="2:7" ht="12.75">
      <c r="B328" s="20"/>
      <c r="C328" s="21"/>
      <c r="D328" s="22" t="s">
        <v>172</v>
      </c>
      <c r="E328" s="42">
        <v>89</v>
      </c>
      <c r="F328" s="33" t="s">
        <v>22</v>
      </c>
      <c r="G328" s="25"/>
    </row>
    <row r="329" spans="2:7" ht="12.75">
      <c r="B329" s="20"/>
      <c r="C329" s="21"/>
      <c r="D329" s="22" t="s">
        <v>153</v>
      </c>
      <c r="E329" s="42">
        <v>72</v>
      </c>
      <c r="F329" s="33" t="s">
        <v>50</v>
      </c>
      <c r="G329" s="25"/>
    </row>
    <row r="330" spans="2:7" ht="12.75">
      <c r="B330" s="27"/>
      <c r="C330" s="28"/>
      <c r="D330" s="29" t="s">
        <v>173</v>
      </c>
      <c r="E330" s="44">
        <v>43</v>
      </c>
      <c r="F330" s="31" t="s">
        <v>51</v>
      </c>
      <c r="G330" s="32"/>
    </row>
    <row r="331" spans="2:7" ht="12.75">
      <c r="B331" s="10" t="s">
        <v>1</v>
      </c>
      <c r="C331" s="11" t="s">
        <v>2</v>
      </c>
      <c r="D331" s="12" t="s">
        <v>3</v>
      </c>
      <c r="E331" s="12" t="s">
        <v>4</v>
      </c>
      <c r="F331" s="12" t="s">
        <v>5</v>
      </c>
      <c r="G331" s="13" t="s">
        <v>6</v>
      </c>
    </row>
    <row r="332" spans="2:7" ht="12.75">
      <c r="B332" s="14" t="s">
        <v>78</v>
      </c>
      <c r="C332" s="15">
        <v>43617</v>
      </c>
      <c r="D332" s="16" t="s">
        <v>44</v>
      </c>
      <c r="E332" s="17">
        <v>18</v>
      </c>
      <c r="F332" s="18" t="s">
        <v>9</v>
      </c>
      <c r="G332" s="19">
        <v>11</v>
      </c>
    </row>
    <row r="333" spans="2:7" ht="12.75">
      <c r="B333" s="20"/>
      <c r="C333" s="21"/>
      <c r="D333" s="22" t="s">
        <v>83</v>
      </c>
      <c r="E333" s="23">
        <v>18</v>
      </c>
      <c r="F333" s="24" t="s">
        <v>12</v>
      </c>
      <c r="G333" s="25"/>
    </row>
    <row r="334" spans="2:7" ht="12.75">
      <c r="B334" s="20"/>
      <c r="C334" s="21"/>
      <c r="D334" s="22" t="s">
        <v>85</v>
      </c>
      <c r="E334" s="23">
        <v>17</v>
      </c>
      <c r="F334" s="24" t="s">
        <v>14</v>
      </c>
      <c r="G334" s="25"/>
    </row>
    <row r="335" spans="2:7" ht="12.75">
      <c r="B335" s="20"/>
      <c r="C335" s="21"/>
      <c r="D335" s="22" t="s">
        <v>80</v>
      </c>
      <c r="E335" s="23">
        <v>16</v>
      </c>
      <c r="F335" s="26" t="s">
        <v>16</v>
      </c>
      <c r="G335" s="25"/>
    </row>
    <row r="336" spans="2:7" ht="12.75">
      <c r="B336" s="20"/>
      <c r="C336" s="21"/>
      <c r="D336" s="22" t="s">
        <v>31</v>
      </c>
      <c r="E336" s="23">
        <v>15</v>
      </c>
      <c r="F336" s="26" t="s">
        <v>18</v>
      </c>
      <c r="G336" s="25"/>
    </row>
    <row r="337" spans="2:7" ht="12.75">
      <c r="B337" s="20"/>
      <c r="C337" s="21"/>
      <c r="D337" s="22" t="s">
        <v>41</v>
      </c>
      <c r="E337" s="23">
        <v>14</v>
      </c>
      <c r="F337" s="26" t="s">
        <v>20</v>
      </c>
      <c r="G337" s="25"/>
    </row>
    <row r="338" spans="2:7" ht="12.75">
      <c r="B338" s="20"/>
      <c r="C338" s="21"/>
      <c r="D338" s="22" t="s">
        <v>19</v>
      </c>
      <c r="E338" s="23">
        <v>14</v>
      </c>
      <c r="F338" s="26" t="s">
        <v>20</v>
      </c>
      <c r="G338" s="25"/>
    </row>
    <row r="339" spans="2:7" ht="12.75">
      <c r="B339" s="20"/>
      <c r="C339" s="21"/>
      <c r="D339" s="22" t="s">
        <v>70</v>
      </c>
      <c r="E339" s="23">
        <v>11</v>
      </c>
      <c r="F339" s="26" t="s">
        <v>50</v>
      </c>
      <c r="G339" s="25"/>
    </row>
    <row r="340" spans="2:7" ht="12.75">
      <c r="B340" s="20"/>
      <c r="C340" s="21"/>
      <c r="D340" s="22" t="s">
        <v>68</v>
      </c>
      <c r="E340" s="23">
        <v>9</v>
      </c>
      <c r="F340" s="26" t="s">
        <v>51</v>
      </c>
      <c r="G340" s="25"/>
    </row>
    <row r="341" spans="2:7" ht="12.75">
      <c r="B341" s="27"/>
      <c r="C341" s="28"/>
      <c r="D341" s="29" t="s">
        <v>46</v>
      </c>
      <c r="E341" s="30">
        <v>8</v>
      </c>
      <c r="F341" s="31" t="s">
        <v>67</v>
      </c>
      <c r="G341" s="32"/>
    </row>
    <row r="342" spans="2:7" ht="12.75">
      <c r="B342" s="27" t="s">
        <v>62</v>
      </c>
      <c r="C342" s="28">
        <v>43617</v>
      </c>
      <c r="D342" s="72" t="s">
        <v>174</v>
      </c>
      <c r="E342" s="73">
        <v>13</v>
      </c>
      <c r="F342" s="74" t="s">
        <v>9</v>
      </c>
      <c r="G342" s="32"/>
    </row>
    <row r="343" spans="2:7" ht="12.75">
      <c r="B343" s="10" t="s">
        <v>1</v>
      </c>
      <c r="C343" s="11" t="s">
        <v>2</v>
      </c>
      <c r="D343" s="12" t="s">
        <v>3</v>
      </c>
      <c r="E343" s="12" t="s">
        <v>4</v>
      </c>
      <c r="F343" s="12" t="s">
        <v>5</v>
      </c>
      <c r="G343" s="13" t="s">
        <v>6</v>
      </c>
    </row>
    <row r="344" spans="2:7" ht="12.75">
      <c r="B344" s="14" t="s">
        <v>55</v>
      </c>
      <c r="C344" s="15">
        <v>43625</v>
      </c>
      <c r="D344" s="16" t="s">
        <v>41</v>
      </c>
      <c r="E344" s="17">
        <v>96</v>
      </c>
      <c r="F344" s="18" t="s">
        <v>9</v>
      </c>
      <c r="G344" s="19">
        <v>3</v>
      </c>
    </row>
    <row r="345" spans="2:7" ht="12.75">
      <c r="B345" s="20" t="s">
        <v>56</v>
      </c>
      <c r="C345" s="21"/>
      <c r="D345" s="22" t="s">
        <v>46</v>
      </c>
      <c r="E345" s="23">
        <v>80</v>
      </c>
      <c r="F345" s="33" t="s">
        <v>12</v>
      </c>
      <c r="G345" s="25"/>
    </row>
    <row r="346" spans="2:7" ht="12.75">
      <c r="B346" s="20"/>
      <c r="C346" s="21"/>
      <c r="D346" s="22" t="s">
        <v>175</v>
      </c>
      <c r="E346" s="23">
        <v>72</v>
      </c>
      <c r="F346" s="33" t="s">
        <v>14</v>
      </c>
      <c r="G346" s="25"/>
    </row>
    <row r="347" spans="2:7" ht="12.75">
      <c r="B347" s="14" t="s">
        <v>55</v>
      </c>
      <c r="C347" s="15">
        <v>43625</v>
      </c>
      <c r="D347" s="16" t="s">
        <v>176</v>
      </c>
      <c r="E347" s="17">
        <v>49</v>
      </c>
      <c r="F347" s="47" t="s">
        <v>9</v>
      </c>
      <c r="G347" s="19">
        <v>2</v>
      </c>
    </row>
    <row r="348" spans="2:7" ht="12.75">
      <c r="B348" s="20" t="s">
        <v>59</v>
      </c>
      <c r="C348" s="21"/>
      <c r="D348" s="22" t="s">
        <v>58</v>
      </c>
      <c r="E348" s="23">
        <v>36</v>
      </c>
      <c r="F348" s="33" t="s">
        <v>12</v>
      </c>
      <c r="G348" s="25"/>
    </row>
    <row r="349" spans="2:7" ht="12.75">
      <c r="B349" s="10" t="s">
        <v>1</v>
      </c>
      <c r="C349" s="11" t="s">
        <v>2</v>
      </c>
      <c r="D349" s="12" t="s">
        <v>3</v>
      </c>
      <c r="E349" s="12" t="s">
        <v>4</v>
      </c>
      <c r="F349" s="12" t="s">
        <v>5</v>
      </c>
      <c r="G349" s="13" t="s">
        <v>6</v>
      </c>
    </row>
    <row r="350" spans="2:7" ht="12.75">
      <c r="B350" s="14" t="s">
        <v>60</v>
      </c>
      <c r="C350" s="15">
        <v>43625</v>
      </c>
      <c r="D350" s="16" t="s">
        <v>175</v>
      </c>
      <c r="E350" s="17">
        <v>95</v>
      </c>
      <c r="F350" s="18" t="s">
        <v>9</v>
      </c>
      <c r="G350" s="19">
        <v>6</v>
      </c>
    </row>
    <row r="351" spans="2:7" ht="12.75">
      <c r="B351" s="20" t="s">
        <v>56</v>
      </c>
      <c r="C351" s="21"/>
      <c r="D351" s="40" t="s">
        <v>41</v>
      </c>
      <c r="E351" s="41">
        <v>83</v>
      </c>
      <c r="F351" s="24" t="s">
        <v>12</v>
      </c>
      <c r="G351" s="25"/>
    </row>
    <row r="352" spans="2:7" ht="12.75">
      <c r="B352" s="20"/>
      <c r="C352" s="21"/>
      <c r="D352" s="22" t="s">
        <v>42</v>
      </c>
      <c r="E352" s="42">
        <v>73</v>
      </c>
      <c r="F352" s="24" t="s">
        <v>14</v>
      </c>
      <c r="G352" s="25"/>
    </row>
    <row r="353" spans="2:7" ht="12.75">
      <c r="B353" s="20"/>
      <c r="C353" s="21"/>
      <c r="D353" s="22" t="s">
        <v>43</v>
      </c>
      <c r="E353" s="42">
        <v>71</v>
      </c>
      <c r="F353" s="33" t="s">
        <v>16</v>
      </c>
      <c r="G353" s="25"/>
    </row>
    <row r="354" spans="2:7" ht="12.75">
      <c r="B354" s="20"/>
      <c r="C354" s="21"/>
      <c r="D354" s="22" t="s">
        <v>19</v>
      </c>
      <c r="E354" s="42">
        <v>66</v>
      </c>
      <c r="F354" s="33" t="s">
        <v>18</v>
      </c>
      <c r="G354" s="25"/>
    </row>
    <row r="355" spans="2:7" ht="12.75">
      <c r="B355" s="20"/>
      <c r="C355" s="21"/>
      <c r="D355" s="22" t="s">
        <v>46</v>
      </c>
      <c r="E355" s="42">
        <v>55</v>
      </c>
      <c r="F355" s="33" t="s">
        <v>20</v>
      </c>
      <c r="G355" s="25"/>
    </row>
    <row r="356" spans="2:7" ht="12.75">
      <c r="B356" s="14" t="s">
        <v>60</v>
      </c>
      <c r="C356" s="15">
        <v>43625</v>
      </c>
      <c r="D356" s="16" t="s">
        <v>177</v>
      </c>
      <c r="E356" s="17">
        <v>73</v>
      </c>
      <c r="F356" s="18" t="s">
        <v>9</v>
      </c>
      <c r="G356" s="19">
        <v>3</v>
      </c>
    </row>
    <row r="357" spans="2:7" ht="12.75">
      <c r="B357" s="20" t="s">
        <v>59</v>
      </c>
      <c r="C357" s="21"/>
      <c r="D357" s="40" t="s">
        <v>58</v>
      </c>
      <c r="E357" s="41">
        <v>49</v>
      </c>
      <c r="F357" s="33" t="s">
        <v>12</v>
      </c>
      <c r="G357" s="25"/>
    </row>
    <row r="358" spans="2:7" ht="12.75">
      <c r="B358" s="27"/>
      <c r="C358" s="28"/>
      <c r="D358" s="29" t="s">
        <v>21</v>
      </c>
      <c r="E358" s="44">
        <v>12</v>
      </c>
      <c r="F358" s="31" t="s">
        <v>14</v>
      </c>
      <c r="G358" s="32"/>
    </row>
    <row r="359" spans="2:7" ht="12.75">
      <c r="B359" s="10" t="s">
        <v>1</v>
      </c>
      <c r="C359" s="11" t="s">
        <v>2</v>
      </c>
      <c r="D359" s="12" t="s">
        <v>3</v>
      </c>
      <c r="E359" s="12" t="s">
        <v>4</v>
      </c>
      <c r="F359" s="12" t="s">
        <v>5</v>
      </c>
      <c r="G359" s="13" t="s">
        <v>6</v>
      </c>
    </row>
    <row r="360" spans="2:8" ht="12.75">
      <c r="B360" s="14" t="s">
        <v>81</v>
      </c>
      <c r="C360" s="15">
        <v>43632</v>
      </c>
      <c r="D360" s="16" t="s">
        <v>41</v>
      </c>
      <c r="E360" s="34">
        <v>100</v>
      </c>
      <c r="F360" s="18" t="s">
        <v>9</v>
      </c>
      <c r="G360" s="19">
        <v>11</v>
      </c>
      <c r="H360" s="35">
        <v>21.33</v>
      </c>
    </row>
    <row r="361" spans="2:8" ht="12.75">
      <c r="B361" s="20" t="s">
        <v>82</v>
      </c>
      <c r="C361" s="21"/>
      <c r="D361" s="22" t="s">
        <v>83</v>
      </c>
      <c r="E361" s="36">
        <f>2133/25.09</f>
        <v>85.01394978078916</v>
      </c>
      <c r="F361" s="24" t="s">
        <v>12</v>
      </c>
      <c r="G361" s="25"/>
      <c r="H361" s="37">
        <v>25.09</v>
      </c>
    </row>
    <row r="362" spans="2:8" ht="12.75">
      <c r="B362" s="20"/>
      <c r="C362" s="21"/>
      <c r="D362" s="22" t="s">
        <v>44</v>
      </c>
      <c r="E362" s="36">
        <f>2133/29.92</f>
        <v>71.29010695187165</v>
      </c>
      <c r="F362" s="24" t="s">
        <v>14</v>
      </c>
      <c r="G362" s="25"/>
      <c r="H362" s="37">
        <v>29.92</v>
      </c>
    </row>
    <row r="363" spans="2:8" ht="12.75">
      <c r="B363" s="20"/>
      <c r="C363" s="21"/>
      <c r="D363" s="22" t="s">
        <v>31</v>
      </c>
      <c r="E363" s="36">
        <f>2133/31.6</f>
        <v>67.5</v>
      </c>
      <c r="F363" s="26" t="s">
        <v>16</v>
      </c>
      <c r="G363" s="25"/>
      <c r="H363" s="37">
        <v>31.6</v>
      </c>
    </row>
    <row r="364" spans="2:8" ht="12.75">
      <c r="B364" s="20"/>
      <c r="C364" s="21"/>
      <c r="D364" s="22" t="s">
        <v>19</v>
      </c>
      <c r="E364" s="36">
        <f>2133/50.47</f>
        <v>42.262730334852385</v>
      </c>
      <c r="F364" s="26" t="s">
        <v>18</v>
      </c>
      <c r="G364" s="25"/>
      <c r="H364" s="37">
        <v>50.47</v>
      </c>
    </row>
    <row r="365" spans="2:8" ht="12.75">
      <c r="B365" s="20"/>
      <c r="C365" s="21"/>
      <c r="D365" s="22" t="s">
        <v>46</v>
      </c>
      <c r="E365" s="36">
        <f>2133/64.85</f>
        <v>32.89128758673863</v>
      </c>
      <c r="F365" s="26" t="s">
        <v>20</v>
      </c>
      <c r="G365" s="25"/>
      <c r="H365" s="37">
        <v>64.85</v>
      </c>
    </row>
    <row r="366" spans="2:8" ht="12.75">
      <c r="B366" s="20"/>
      <c r="C366" s="21"/>
      <c r="D366" s="22" t="s">
        <v>178</v>
      </c>
      <c r="E366" s="36">
        <f>2133/74.54</f>
        <v>28.615508451837936</v>
      </c>
      <c r="F366" s="26" t="s">
        <v>22</v>
      </c>
      <c r="G366" s="25"/>
      <c r="H366" s="37">
        <v>74.54</v>
      </c>
    </row>
    <row r="367" spans="2:8" ht="12.75">
      <c r="B367" s="20"/>
      <c r="C367" s="21"/>
      <c r="D367" s="22" t="s">
        <v>43</v>
      </c>
      <c r="E367" s="36">
        <f>2133/76.81</f>
        <v>27.769821637807578</v>
      </c>
      <c r="F367" s="26" t="s">
        <v>50</v>
      </c>
      <c r="G367" s="25"/>
      <c r="H367" s="37">
        <v>76.81</v>
      </c>
    </row>
    <row r="368" spans="2:8" ht="12.75">
      <c r="B368" s="20"/>
      <c r="C368" s="21"/>
      <c r="D368" s="22" t="s">
        <v>57</v>
      </c>
      <c r="E368" s="36">
        <f>2133/86.29</f>
        <v>24.718970912040792</v>
      </c>
      <c r="F368" s="26" t="s">
        <v>51</v>
      </c>
      <c r="G368" s="25"/>
      <c r="H368" s="37">
        <v>86.29</v>
      </c>
    </row>
    <row r="369" spans="2:8" ht="12.75">
      <c r="B369" s="20"/>
      <c r="C369" s="21"/>
      <c r="D369" s="22" t="s">
        <v>179</v>
      </c>
      <c r="E369" s="36">
        <f>2133/92.97</f>
        <v>22.942884801548885</v>
      </c>
      <c r="F369" s="26" t="s">
        <v>67</v>
      </c>
      <c r="G369" s="25"/>
      <c r="H369" s="37">
        <v>92.97</v>
      </c>
    </row>
    <row r="370" spans="2:8" ht="12.75">
      <c r="B370" s="27"/>
      <c r="C370" s="28"/>
      <c r="D370" s="29" t="s">
        <v>92</v>
      </c>
      <c r="E370" s="38">
        <f>21.33/155</f>
        <v>0.13761290322580644</v>
      </c>
      <c r="F370" s="26" t="s">
        <v>75</v>
      </c>
      <c r="G370" s="32"/>
      <c r="H370" s="39">
        <v>155</v>
      </c>
    </row>
    <row r="371" spans="2:8" ht="12.75">
      <c r="B371" s="14" t="s">
        <v>81</v>
      </c>
      <c r="C371" s="15">
        <v>43632</v>
      </c>
      <c r="D371" s="16" t="s">
        <v>44</v>
      </c>
      <c r="E371" s="34">
        <v>100</v>
      </c>
      <c r="F371" s="18" t="s">
        <v>9</v>
      </c>
      <c r="G371" s="19">
        <v>8</v>
      </c>
      <c r="H371" s="75">
        <v>49.94</v>
      </c>
    </row>
    <row r="372" spans="2:8" ht="12.75">
      <c r="B372" s="20" t="s">
        <v>84</v>
      </c>
      <c r="C372" s="21"/>
      <c r="D372" s="22" t="s">
        <v>41</v>
      </c>
      <c r="E372" s="36">
        <f>4994/50.97</f>
        <v>97.97920345301158</v>
      </c>
      <c r="F372" s="24" t="s">
        <v>12</v>
      </c>
      <c r="G372" s="25"/>
      <c r="H372" s="76">
        <v>50.97</v>
      </c>
    </row>
    <row r="373" spans="2:8" ht="12.75">
      <c r="B373" s="20"/>
      <c r="C373" s="21"/>
      <c r="D373" s="22" t="s">
        <v>83</v>
      </c>
      <c r="E373" s="36">
        <f>4994/63.13</f>
        <v>79.10660541739267</v>
      </c>
      <c r="F373" s="24" t="s">
        <v>14</v>
      </c>
      <c r="G373" s="25"/>
      <c r="H373" s="76">
        <v>63.13</v>
      </c>
    </row>
    <row r="374" spans="2:8" ht="12.75">
      <c r="B374" s="20"/>
      <c r="C374" s="21"/>
      <c r="D374" s="22" t="s">
        <v>47</v>
      </c>
      <c r="E374" s="36">
        <f>4994/74.78</f>
        <v>66.7825621824017</v>
      </c>
      <c r="F374" s="26" t="s">
        <v>16</v>
      </c>
      <c r="G374" s="25"/>
      <c r="H374" s="76">
        <v>74.78</v>
      </c>
    </row>
    <row r="375" spans="2:8" ht="12.75">
      <c r="B375" s="20"/>
      <c r="C375" s="21"/>
      <c r="D375" s="22" t="s">
        <v>19</v>
      </c>
      <c r="E375" s="36">
        <f>4994/90.98</f>
        <v>54.891184875796874</v>
      </c>
      <c r="F375" s="26" t="s">
        <v>18</v>
      </c>
      <c r="G375" s="25"/>
      <c r="H375" s="76">
        <v>90.98</v>
      </c>
    </row>
    <row r="376" spans="2:8" ht="12.75">
      <c r="B376" s="20"/>
      <c r="C376" s="21"/>
      <c r="D376" s="22" t="s">
        <v>46</v>
      </c>
      <c r="E376" s="36">
        <f>4994/96.41</f>
        <v>51.79960585001556</v>
      </c>
      <c r="F376" s="26" t="s">
        <v>20</v>
      </c>
      <c r="G376" s="25"/>
      <c r="H376" s="76">
        <v>96.41</v>
      </c>
    </row>
    <row r="377" spans="2:8" ht="12.75">
      <c r="B377" s="20"/>
      <c r="C377" s="21"/>
      <c r="D377" s="22" t="s">
        <v>175</v>
      </c>
      <c r="E377" s="36">
        <f>4994/101.31</f>
        <v>49.294245385450594</v>
      </c>
      <c r="F377" s="26" t="s">
        <v>22</v>
      </c>
      <c r="G377" s="25"/>
      <c r="H377" s="76">
        <v>101.31</v>
      </c>
    </row>
    <row r="378" spans="2:8" ht="12.75">
      <c r="B378" s="27"/>
      <c r="C378" s="28"/>
      <c r="D378" s="29" t="s">
        <v>57</v>
      </c>
      <c r="E378" s="38">
        <f>4994/113.01</f>
        <v>44.19077957702858</v>
      </c>
      <c r="F378" s="31" t="s">
        <v>50</v>
      </c>
      <c r="G378" s="32"/>
      <c r="H378" s="77">
        <v>113.01</v>
      </c>
    </row>
    <row r="379" spans="2:7" ht="12.75">
      <c r="B379" s="10" t="s">
        <v>1</v>
      </c>
      <c r="C379" s="11" t="s">
        <v>2</v>
      </c>
      <c r="D379" s="12" t="s">
        <v>3</v>
      </c>
      <c r="E379" s="12" t="s">
        <v>4</v>
      </c>
      <c r="F379" s="12" t="s">
        <v>5</v>
      </c>
      <c r="G379" s="13" t="s">
        <v>6</v>
      </c>
    </row>
    <row r="380" spans="2:7" ht="12.75">
      <c r="B380" s="14" t="s">
        <v>63</v>
      </c>
      <c r="C380" s="15">
        <v>43639</v>
      </c>
      <c r="D380" s="16" t="s">
        <v>64</v>
      </c>
      <c r="E380" s="17">
        <v>195</v>
      </c>
      <c r="F380" s="18" t="s">
        <v>9</v>
      </c>
      <c r="G380" s="19">
        <v>10</v>
      </c>
    </row>
    <row r="381" spans="2:7" ht="12.75">
      <c r="B381" s="20" t="s">
        <v>88</v>
      </c>
      <c r="C381" s="21"/>
      <c r="D381" s="78" t="s">
        <v>57</v>
      </c>
      <c r="E381" s="79">
        <v>195</v>
      </c>
      <c r="F381" s="24" t="s">
        <v>9</v>
      </c>
      <c r="G381" s="25"/>
    </row>
    <row r="382" spans="2:7" ht="12.75">
      <c r="B382" s="20"/>
      <c r="C382" s="21"/>
      <c r="D382" s="40" t="s">
        <v>41</v>
      </c>
      <c r="E382" s="41">
        <v>189</v>
      </c>
      <c r="F382" s="24" t="s">
        <v>14</v>
      </c>
      <c r="G382" s="25"/>
    </row>
    <row r="383" spans="2:7" ht="12.75">
      <c r="B383" s="20"/>
      <c r="C383" s="21"/>
      <c r="D383" s="22" t="s">
        <v>180</v>
      </c>
      <c r="E383" s="42">
        <v>185</v>
      </c>
      <c r="F383" s="33" t="s">
        <v>16</v>
      </c>
      <c r="G383" s="25"/>
    </row>
    <row r="384" spans="2:7" ht="12.75">
      <c r="B384" s="20"/>
      <c r="C384" s="21"/>
      <c r="D384" s="22" t="s">
        <v>11</v>
      </c>
      <c r="E384" s="42">
        <v>182</v>
      </c>
      <c r="F384" s="33" t="s">
        <v>18</v>
      </c>
      <c r="G384" s="25"/>
    </row>
    <row r="385" spans="2:7" ht="12.75">
      <c r="B385" s="20"/>
      <c r="C385" s="21"/>
      <c r="D385" s="22" t="s">
        <v>175</v>
      </c>
      <c r="E385" s="42">
        <v>181</v>
      </c>
      <c r="F385" s="33" t="s">
        <v>20</v>
      </c>
      <c r="G385" s="25"/>
    </row>
    <row r="386" spans="2:7" ht="12.75">
      <c r="B386" s="20"/>
      <c r="C386" s="21"/>
      <c r="D386" s="22" t="s">
        <v>65</v>
      </c>
      <c r="E386" s="42">
        <v>180</v>
      </c>
      <c r="F386" s="33" t="s">
        <v>22</v>
      </c>
      <c r="G386" s="25"/>
    </row>
    <row r="387" spans="2:7" ht="12.75">
      <c r="B387" s="20"/>
      <c r="C387" s="21"/>
      <c r="D387" s="22" t="s">
        <v>19</v>
      </c>
      <c r="E387" s="42">
        <v>178</v>
      </c>
      <c r="F387" s="33" t="s">
        <v>50</v>
      </c>
      <c r="G387" s="25"/>
    </row>
    <row r="388" spans="2:7" ht="12.75">
      <c r="B388" s="20"/>
      <c r="C388" s="21"/>
      <c r="D388" s="22" t="s">
        <v>86</v>
      </c>
      <c r="E388" s="42">
        <v>157</v>
      </c>
      <c r="F388" s="33" t="s">
        <v>51</v>
      </c>
      <c r="G388" s="25"/>
    </row>
    <row r="389" spans="2:7" ht="12.75">
      <c r="B389" s="20"/>
      <c r="C389" s="21"/>
      <c r="D389" s="22" t="s">
        <v>47</v>
      </c>
      <c r="E389" s="42">
        <v>154</v>
      </c>
      <c r="F389" s="33" t="s">
        <v>67</v>
      </c>
      <c r="G389" s="25"/>
    </row>
    <row r="390" spans="2:7" ht="12.75">
      <c r="B390" s="14" t="s">
        <v>63</v>
      </c>
      <c r="C390" s="15">
        <v>43639</v>
      </c>
      <c r="D390" s="16" t="s">
        <v>70</v>
      </c>
      <c r="E390" s="17">
        <v>189</v>
      </c>
      <c r="F390" s="18" t="s">
        <v>9</v>
      </c>
      <c r="G390" s="19">
        <v>5</v>
      </c>
    </row>
    <row r="391" spans="2:7" ht="12.75">
      <c r="B391" s="20" t="s">
        <v>59</v>
      </c>
      <c r="C391" s="21"/>
      <c r="D391" s="40" t="s">
        <v>44</v>
      </c>
      <c r="E391" s="41">
        <v>182</v>
      </c>
      <c r="F391" s="24" t="s">
        <v>12</v>
      </c>
      <c r="G391" s="25"/>
    </row>
    <row r="392" spans="2:7" ht="12.75">
      <c r="B392" s="20"/>
      <c r="C392" s="21"/>
      <c r="D392" s="80" t="s">
        <v>92</v>
      </c>
      <c r="E392" s="42">
        <v>169</v>
      </c>
      <c r="F392" s="24" t="s">
        <v>14</v>
      </c>
      <c r="G392" s="25"/>
    </row>
    <row r="393" spans="2:7" ht="12.75">
      <c r="B393" s="20"/>
      <c r="C393" s="21"/>
      <c r="D393" s="80" t="s">
        <v>69</v>
      </c>
      <c r="E393" s="42">
        <v>153</v>
      </c>
      <c r="F393" s="33" t="s">
        <v>16</v>
      </c>
      <c r="G393" s="25"/>
    </row>
    <row r="394" spans="2:7" ht="12.75">
      <c r="B394" s="27"/>
      <c r="C394" s="28"/>
      <c r="D394" s="29" t="s">
        <v>83</v>
      </c>
      <c r="E394" s="44">
        <v>140</v>
      </c>
      <c r="F394" s="31" t="s">
        <v>18</v>
      </c>
      <c r="G394" s="32"/>
    </row>
    <row r="395" spans="2:7" ht="12.75">
      <c r="B395" s="10" t="s">
        <v>1</v>
      </c>
      <c r="C395" s="11" t="s">
        <v>2</v>
      </c>
      <c r="D395" s="12" t="s">
        <v>3</v>
      </c>
      <c r="E395" s="12" t="s">
        <v>4</v>
      </c>
      <c r="F395" s="12" t="s">
        <v>5</v>
      </c>
      <c r="G395" s="13" t="s">
        <v>6</v>
      </c>
    </row>
    <row r="396" spans="2:7" ht="12.75">
      <c r="B396" s="14" t="s">
        <v>27</v>
      </c>
      <c r="C396" s="15">
        <v>43652</v>
      </c>
      <c r="D396" s="16" t="s">
        <v>13</v>
      </c>
      <c r="E396" s="17">
        <v>338</v>
      </c>
      <c r="F396" s="18" t="s">
        <v>9</v>
      </c>
      <c r="G396" s="19">
        <v>5</v>
      </c>
    </row>
    <row r="397" spans="2:7" ht="12.75">
      <c r="B397" s="20" t="s">
        <v>29</v>
      </c>
      <c r="C397" s="21"/>
      <c r="D397" s="22" t="s">
        <v>34</v>
      </c>
      <c r="E397" s="23">
        <v>328</v>
      </c>
      <c r="F397" s="24" t="s">
        <v>12</v>
      </c>
      <c r="G397" s="25"/>
    </row>
    <row r="398" spans="2:7" ht="12.75">
      <c r="B398" s="20"/>
      <c r="C398" s="21"/>
      <c r="D398" s="22" t="s">
        <v>32</v>
      </c>
      <c r="E398" s="23">
        <v>254</v>
      </c>
      <c r="F398" s="33" t="s">
        <v>14</v>
      </c>
      <c r="G398" s="25"/>
    </row>
    <row r="399" spans="2:7" ht="12.75">
      <c r="B399" s="20"/>
      <c r="C399" s="21"/>
      <c r="D399" s="22" t="s">
        <v>134</v>
      </c>
      <c r="E399" s="23">
        <v>245</v>
      </c>
      <c r="F399" s="33" t="s">
        <v>16</v>
      </c>
      <c r="G399" s="25"/>
    </row>
    <row r="400" spans="2:7" ht="12.75">
      <c r="B400" s="27"/>
      <c r="C400" s="28"/>
      <c r="D400" s="29" t="s">
        <v>171</v>
      </c>
      <c r="E400" s="30">
        <v>234</v>
      </c>
      <c r="F400" s="31" t="s">
        <v>18</v>
      </c>
      <c r="G400" s="32"/>
    </row>
    <row r="401" spans="2:7" ht="12.75">
      <c r="B401" s="10" t="s">
        <v>1</v>
      </c>
      <c r="C401" s="11" t="s">
        <v>2</v>
      </c>
      <c r="D401" s="12" t="s">
        <v>3</v>
      </c>
      <c r="E401" s="12" t="s">
        <v>4</v>
      </c>
      <c r="F401" s="12" t="s">
        <v>5</v>
      </c>
      <c r="G401" s="13" t="s">
        <v>6</v>
      </c>
    </row>
    <row r="402" spans="2:7" ht="12.75">
      <c r="B402" s="14" t="s">
        <v>7</v>
      </c>
      <c r="C402" s="15">
        <v>43653</v>
      </c>
      <c r="D402" s="16" t="s">
        <v>8</v>
      </c>
      <c r="E402" s="17">
        <v>41</v>
      </c>
      <c r="F402" s="18" t="s">
        <v>9</v>
      </c>
      <c r="G402" s="19">
        <v>3</v>
      </c>
    </row>
    <row r="403" spans="2:7" ht="12.75">
      <c r="B403" s="20" t="s">
        <v>10</v>
      </c>
      <c r="C403" s="21"/>
      <c r="D403" s="22" t="s">
        <v>41</v>
      </c>
      <c r="E403" s="23">
        <v>33</v>
      </c>
      <c r="F403" s="33" t="s">
        <v>12</v>
      </c>
      <c r="G403" s="25"/>
    </row>
    <row r="404" spans="2:7" ht="12.75">
      <c r="B404" s="20"/>
      <c r="C404" s="21"/>
      <c r="D404" s="22" t="s">
        <v>11</v>
      </c>
      <c r="E404" s="23">
        <v>23</v>
      </c>
      <c r="F404" s="33" t="s">
        <v>14</v>
      </c>
      <c r="G404" s="25"/>
    </row>
    <row r="405" spans="2:7" ht="12.75">
      <c r="B405" s="14" t="s">
        <v>7</v>
      </c>
      <c r="C405" s="15">
        <v>43653</v>
      </c>
      <c r="D405" s="16" t="s">
        <v>11</v>
      </c>
      <c r="E405" s="17">
        <v>34</v>
      </c>
      <c r="F405" s="18" t="s">
        <v>9</v>
      </c>
      <c r="G405" s="19">
        <v>4</v>
      </c>
    </row>
    <row r="406" spans="2:7" ht="12.75">
      <c r="B406" s="20" t="s">
        <v>24</v>
      </c>
      <c r="C406" s="21"/>
      <c r="D406" s="22" t="s">
        <v>8</v>
      </c>
      <c r="E406" s="23">
        <v>31</v>
      </c>
      <c r="F406" s="24" t="s">
        <v>12</v>
      </c>
      <c r="G406" s="25"/>
    </row>
    <row r="407" spans="2:7" ht="12.75">
      <c r="B407" s="20"/>
      <c r="C407" s="21"/>
      <c r="D407" s="22" t="s">
        <v>41</v>
      </c>
      <c r="E407" s="23">
        <v>28</v>
      </c>
      <c r="F407" s="33" t="s">
        <v>14</v>
      </c>
      <c r="G407" s="25"/>
    </row>
    <row r="408" spans="2:7" ht="12.75">
      <c r="B408" s="27"/>
      <c r="C408" s="28"/>
      <c r="D408" s="29" t="s">
        <v>26</v>
      </c>
      <c r="E408" s="30">
        <v>26</v>
      </c>
      <c r="F408" s="31" t="s">
        <v>16</v>
      </c>
      <c r="G408" s="32"/>
    </row>
    <row r="409" spans="2:7" ht="12.75">
      <c r="B409" s="10" t="s">
        <v>1</v>
      </c>
      <c r="C409" s="11" t="s">
        <v>2</v>
      </c>
      <c r="D409" s="12" t="s">
        <v>3</v>
      </c>
      <c r="E409" s="12" t="s">
        <v>4</v>
      </c>
      <c r="F409" s="12" t="s">
        <v>5</v>
      </c>
      <c r="G409" s="13" t="s">
        <v>6</v>
      </c>
    </row>
    <row r="410" spans="2:7" ht="12.75">
      <c r="B410" s="14" t="s">
        <v>63</v>
      </c>
      <c r="C410" s="15">
        <v>43659</v>
      </c>
      <c r="D410" s="16" t="s">
        <v>181</v>
      </c>
      <c r="E410" s="17">
        <v>195</v>
      </c>
      <c r="F410" s="18" t="s">
        <v>9</v>
      </c>
      <c r="G410" s="19">
        <v>10</v>
      </c>
    </row>
    <row r="411" spans="2:7" ht="12.75">
      <c r="B411" s="20" t="s">
        <v>56</v>
      </c>
      <c r="C411" s="21"/>
      <c r="D411" s="40" t="s">
        <v>182</v>
      </c>
      <c r="E411" s="41">
        <v>195</v>
      </c>
      <c r="F411" s="24" t="s">
        <v>12</v>
      </c>
      <c r="G411" s="25"/>
    </row>
    <row r="412" spans="2:7" ht="12.75">
      <c r="B412" s="20"/>
      <c r="C412" s="21"/>
      <c r="D412" s="22" t="s">
        <v>183</v>
      </c>
      <c r="E412" s="42">
        <v>195</v>
      </c>
      <c r="F412" s="24" t="s">
        <v>14</v>
      </c>
      <c r="G412" s="25"/>
    </row>
    <row r="413" spans="2:7" ht="12.75">
      <c r="B413" s="20"/>
      <c r="C413" s="21"/>
      <c r="D413" s="22" t="s">
        <v>57</v>
      </c>
      <c r="E413" s="42">
        <v>192</v>
      </c>
      <c r="F413" s="33" t="s">
        <v>16</v>
      </c>
      <c r="G413" s="25"/>
    </row>
    <row r="414" spans="2:7" ht="12.75">
      <c r="B414" s="20"/>
      <c r="C414" s="21"/>
      <c r="D414" s="22" t="s">
        <v>11</v>
      </c>
      <c r="E414" s="42">
        <v>188</v>
      </c>
      <c r="F414" s="33" t="s">
        <v>18</v>
      </c>
      <c r="G414" s="25"/>
    </row>
    <row r="415" spans="2:7" ht="12.75">
      <c r="B415" s="20"/>
      <c r="C415" s="21"/>
      <c r="D415" s="22" t="s">
        <v>175</v>
      </c>
      <c r="E415" s="42">
        <v>184</v>
      </c>
      <c r="F415" s="33" t="s">
        <v>20</v>
      </c>
      <c r="G415" s="25"/>
    </row>
    <row r="416" spans="2:7" ht="12.75">
      <c r="B416" s="20"/>
      <c r="C416" s="21"/>
      <c r="D416" s="22" t="s">
        <v>66</v>
      </c>
      <c r="E416" s="42">
        <v>175</v>
      </c>
      <c r="F416" s="33" t="s">
        <v>22</v>
      </c>
      <c r="G416" s="25"/>
    </row>
    <row r="417" spans="2:7" ht="12.75">
      <c r="B417" s="20"/>
      <c r="C417" s="21"/>
      <c r="D417" s="22" t="s">
        <v>19</v>
      </c>
      <c r="E417" s="42">
        <v>172</v>
      </c>
      <c r="F417" s="33" t="s">
        <v>50</v>
      </c>
      <c r="G417" s="25"/>
    </row>
    <row r="418" spans="2:7" ht="12.75">
      <c r="B418" s="14" t="s">
        <v>63</v>
      </c>
      <c r="C418" s="15">
        <v>43659</v>
      </c>
      <c r="D418" s="16" t="s">
        <v>46</v>
      </c>
      <c r="E418" s="17">
        <v>188</v>
      </c>
      <c r="F418" s="18" t="s">
        <v>9</v>
      </c>
      <c r="G418" s="19">
        <v>2</v>
      </c>
    </row>
    <row r="419" spans="2:7" ht="12.75">
      <c r="B419" s="20" t="s">
        <v>59</v>
      </c>
      <c r="C419" s="21"/>
      <c r="D419" s="22" t="s">
        <v>68</v>
      </c>
      <c r="E419" s="23">
        <v>177</v>
      </c>
      <c r="F419" s="33" t="s">
        <v>12</v>
      </c>
      <c r="G419" s="25"/>
    </row>
    <row r="420" spans="2:7" ht="12.75">
      <c r="B420" s="14" t="s">
        <v>63</v>
      </c>
      <c r="C420" s="15">
        <v>43659</v>
      </c>
      <c r="D420" s="16" t="s">
        <v>184</v>
      </c>
      <c r="E420" s="17">
        <v>193</v>
      </c>
      <c r="F420" s="18" t="s">
        <v>9</v>
      </c>
      <c r="G420" s="19">
        <v>1</v>
      </c>
    </row>
    <row r="421" spans="2:7" ht="12.75">
      <c r="B421" s="27" t="s">
        <v>71</v>
      </c>
      <c r="C421" s="28"/>
      <c r="D421" s="29"/>
      <c r="E421" s="30"/>
      <c r="F421" s="31"/>
      <c r="G421" s="32"/>
    </row>
    <row r="422" spans="2:7" ht="12.75">
      <c r="B422" s="10" t="s">
        <v>1</v>
      </c>
      <c r="C422" s="11" t="s">
        <v>2</v>
      </c>
      <c r="D422" s="12" t="s">
        <v>3</v>
      </c>
      <c r="E422" s="12" t="s">
        <v>4</v>
      </c>
      <c r="F422" s="12" t="s">
        <v>5</v>
      </c>
      <c r="G422" s="13" t="s">
        <v>6</v>
      </c>
    </row>
    <row r="423" spans="2:7" ht="12.75">
      <c r="B423" s="14" t="s">
        <v>185</v>
      </c>
      <c r="C423" s="15">
        <v>43666</v>
      </c>
      <c r="D423" s="16" t="s">
        <v>13</v>
      </c>
      <c r="E423" s="17">
        <v>522</v>
      </c>
      <c r="F423" s="18" t="s">
        <v>9</v>
      </c>
      <c r="G423" s="19">
        <v>3</v>
      </c>
    </row>
    <row r="424" spans="2:7" ht="12.75">
      <c r="B424" s="20"/>
      <c r="C424" s="21"/>
      <c r="D424" s="22" t="s">
        <v>94</v>
      </c>
      <c r="E424" s="23">
        <v>452</v>
      </c>
      <c r="F424" s="33" t="s">
        <v>12</v>
      </c>
      <c r="G424" s="25"/>
    </row>
    <row r="425" spans="2:7" ht="12.75">
      <c r="B425" s="27"/>
      <c r="C425" s="28"/>
      <c r="D425" s="29" t="s">
        <v>74</v>
      </c>
      <c r="E425" s="30">
        <v>430</v>
      </c>
      <c r="F425" s="31" t="s">
        <v>14</v>
      </c>
      <c r="G425" s="32"/>
    </row>
    <row r="426" spans="2:7" ht="12.75">
      <c r="B426" s="10" t="s">
        <v>1</v>
      </c>
      <c r="C426" s="11" t="s">
        <v>2</v>
      </c>
      <c r="D426" s="12" t="s">
        <v>3</v>
      </c>
      <c r="E426" s="12" t="s">
        <v>4</v>
      </c>
      <c r="F426" s="12" t="s">
        <v>5</v>
      </c>
      <c r="G426" s="13" t="s">
        <v>6</v>
      </c>
    </row>
    <row r="427" spans="2:7" ht="12.75">
      <c r="B427" s="14" t="s">
        <v>55</v>
      </c>
      <c r="C427" s="15">
        <v>43666</v>
      </c>
      <c r="D427" s="16" t="s">
        <v>41</v>
      </c>
      <c r="E427" s="17">
        <v>92</v>
      </c>
      <c r="F427" s="18" t="s">
        <v>9</v>
      </c>
      <c r="G427" s="19">
        <v>4</v>
      </c>
    </row>
    <row r="428" spans="2:7" ht="12.75">
      <c r="B428" s="20" t="s">
        <v>56</v>
      </c>
      <c r="C428" s="21"/>
      <c r="D428" s="22" t="s">
        <v>175</v>
      </c>
      <c r="E428" s="23">
        <v>85</v>
      </c>
      <c r="F428" s="33" t="s">
        <v>12</v>
      </c>
      <c r="G428" s="25"/>
    </row>
    <row r="429" spans="2:7" ht="12.75">
      <c r="B429" s="20"/>
      <c r="C429" s="21"/>
      <c r="D429" s="22" t="s">
        <v>57</v>
      </c>
      <c r="E429" s="23">
        <v>79</v>
      </c>
      <c r="F429" s="33" t="s">
        <v>14</v>
      </c>
      <c r="G429" s="25"/>
    </row>
    <row r="430" spans="2:7" ht="12.75">
      <c r="B430" s="20"/>
      <c r="C430" s="21"/>
      <c r="D430" s="22" t="s">
        <v>46</v>
      </c>
      <c r="E430" s="23">
        <v>75</v>
      </c>
      <c r="F430" s="33" t="s">
        <v>16</v>
      </c>
      <c r="G430" s="25"/>
    </row>
    <row r="431" spans="2:7" ht="12.75">
      <c r="B431" s="14" t="s">
        <v>55</v>
      </c>
      <c r="C431" s="15">
        <v>43666</v>
      </c>
      <c r="D431" s="16" t="s">
        <v>58</v>
      </c>
      <c r="E431" s="17">
        <v>34</v>
      </c>
      <c r="F431" s="47" t="s">
        <v>9</v>
      </c>
      <c r="G431" s="19">
        <v>2</v>
      </c>
    </row>
    <row r="432" spans="2:7" ht="12.75">
      <c r="B432" s="20" t="s">
        <v>59</v>
      </c>
      <c r="C432" s="21"/>
      <c r="D432" s="22" t="s">
        <v>11</v>
      </c>
      <c r="E432" s="23">
        <v>8</v>
      </c>
      <c r="F432" s="33" t="s">
        <v>12</v>
      </c>
      <c r="G432" s="25"/>
    </row>
    <row r="433" spans="2:7" ht="12.75">
      <c r="B433" s="10" t="s">
        <v>1</v>
      </c>
      <c r="C433" s="11" t="s">
        <v>2</v>
      </c>
      <c r="D433" s="12" t="s">
        <v>3</v>
      </c>
      <c r="E433" s="12" t="s">
        <v>4</v>
      </c>
      <c r="F433" s="12" t="s">
        <v>5</v>
      </c>
      <c r="G433" s="13" t="s">
        <v>6</v>
      </c>
    </row>
    <row r="434" spans="2:7" ht="12.75">
      <c r="B434" s="14" t="s">
        <v>60</v>
      </c>
      <c r="C434" s="15">
        <v>43666</v>
      </c>
      <c r="D434" s="16" t="s">
        <v>41</v>
      </c>
      <c r="E434" s="17">
        <v>96</v>
      </c>
      <c r="F434" s="18" t="s">
        <v>9</v>
      </c>
      <c r="G434" s="19">
        <v>6</v>
      </c>
    </row>
    <row r="435" spans="2:7" ht="12.75">
      <c r="B435" s="20" t="s">
        <v>56</v>
      </c>
      <c r="C435" s="21"/>
      <c r="D435" s="40" t="s">
        <v>175</v>
      </c>
      <c r="E435" s="41">
        <v>92</v>
      </c>
      <c r="F435" s="24" t="s">
        <v>12</v>
      </c>
      <c r="G435" s="25"/>
    </row>
    <row r="436" spans="2:7" ht="12.75">
      <c r="B436" s="20"/>
      <c r="C436" s="21"/>
      <c r="D436" s="22" t="s">
        <v>57</v>
      </c>
      <c r="E436" s="42">
        <v>74</v>
      </c>
      <c r="F436" s="24" t="s">
        <v>14</v>
      </c>
      <c r="G436" s="25"/>
    </row>
    <row r="437" spans="2:7" ht="12.75">
      <c r="B437" s="20"/>
      <c r="C437" s="21"/>
      <c r="D437" s="22" t="s">
        <v>43</v>
      </c>
      <c r="E437" s="42">
        <v>69</v>
      </c>
      <c r="F437" s="33" t="s">
        <v>16</v>
      </c>
      <c r="G437" s="25"/>
    </row>
    <row r="438" spans="2:7" ht="12.75">
      <c r="B438" s="20"/>
      <c r="C438" s="21"/>
      <c r="D438" s="22" t="s">
        <v>46</v>
      </c>
      <c r="E438" s="42">
        <v>66</v>
      </c>
      <c r="F438" s="33" t="s">
        <v>18</v>
      </c>
      <c r="G438" s="25"/>
    </row>
    <row r="439" spans="2:7" ht="12.75">
      <c r="B439" s="20"/>
      <c r="C439" s="21"/>
      <c r="D439" s="22" t="s">
        <v>42</v>
      </c>
      <c r="E439" s="42">
        <v>60</v>
      </c>
      <c r="F439" s="33" t="s">
        <v>20</v>
      </c>
      <c r="G439" s="25"/>
    </row>
    <row r="440" spans="2:7" ht="12.75">
      <c r="B440" s="14" t="s">
        <v>60</v>
      </c>
      <c r="C440" s="15">
        <v>43666</v>
      </c>
      <c r="D440" s="16" t="s">
        <v>21</v>
      </c>
      <c r="E440" s="17">
        <v>64</v>
      </c>
      <c r="F440" s="18" t="s">
        <v>9</v>
      </c>
      <c r="G440" s="19">
        <v>3</v>
      </c>
    </row>
    <row r="441" spans="2:7" ht="12.75">
      <c r="B441" s="20" t="s">
        <v>59</v>
      </c>
      <c r="C441" s="21"/>
      <c r="D441" s="40" t="s">
        <v>61</v>
      </c>
      <c r="E441" s="41">
        <v>57</v>
      </c>
      <c r="F441" s="33" t="s">
        <v>12</v>
      </c>
      <c r="G441" s="25"/>
    </row>
    <row r="442" spans="2:7" ht="12.75">
      <c r="B442" s="27"/>
      <c r="C442" s="28"/>
      <c r="D442" s="29" t="s">
        <v>58</v>
      </c>
      <c r="E442" s="44">
        <v>43</v>
      </c>
      <c r="F442" s="31" t="s">
        <v>14</v>
      </c>
      <c r="G442" s="32"/>
    </row>
    <row r="443" spans="2:7" ht="12.75">
      <c r="B443" s="10" t="s">
        <v>1</v>
      </c>
      <c r="C443" s="11" t="s">
        <v>2</v>
      </c>
      <c r="D443" s="12" t="s">
        <v>3</v>
      </c>
      <c r="E443" s="12" t="s">
        <v>4</v>
      </c>
      <c r="F443" s="12" t="s">
        <v>5</v>
      </c>
      <c r="G443" s="13" t="s">
        <v>6</v>
      </c>
    </row>
    <row r="444" spans="2:8" ht="12.75">
      <c r="B444" s="14" t="s">
        <v>37</v>
      </c>
      <c r="C444" s="15">
        <v>43667</v>
      </c>
      <c r="D444" s="16" t="s">
        <v>175</v>
      </c>
      <c r="E444" s="34">
        <v>100</v>
      </c>
      <c r="F444" s="18" t="s">
        <v>9</v>
      </c>
      <c r="G444" s="19">
        <v>5</v>
      </c>
      <c r="H444" s="35">
        <v>31.73</v>
      </c>
    </row>
    <row r="445" spans="2:8" ht="12.75">
      <c r="B445" s="20" t="s">
        <v>39</v>
      </c>
      <c r="C445" s="21"/>
      <c r="D445" s="22" t="s">
        <v>83</v>
      </c>
      <c r="E445" s="36">
        <f>3173/41.06</f>
        <v>77.27715538236727</v>
      </c>
      <c r="F445" s="24" t="s">
        <v>12</v>
      </c>
      <c r="G445" s="25"/>
      <c r="H445" s="37">
        <v>41.06</v>
      </c>
    </row>
    <row r="446" spans="2:8" ht="12.75">
      <c r="B446" s="20"/>
      <c r="C446" s="21"/>
      <c r="D446" s="22" t="s">
        <v>43</v>
      </c>
      <c r="E446" s="36">
        <f>3173/44.47</f>
        <v>71.35147290308073</v>
      </c>
      <c r="F446" s="24" t="s">
        <v>14</v>
      </c>
      <c r="G446" s="25"/>
      <c r="H446" s="37">
        <v>44.47</v>
      </c>
    </row>
    <row r="447" spans="2:8" ht="12.75">
      <c r="B447" s="20"/>
      <c r="C447" s="21"/>
      <c r="D447" s="22" t="s">
        <v>41</v>
      </c>
      <c r="E447" s="36">
        <f>3173/85.24</f>
        <v>37.22430783669639</v>
      </c>
      <c r="F447" s="26" t="s">
        <v>16</v>
      </c>
      <c r="G447" s="25"/>
      <c r="H447" s="37">
        <v>85.24</v>
      </c>
    </row>
    <row r="448" spans="2:8" ht="12.75">
      <c r="B448" s="20"/>
      <c r="C448" s="21"/>
      <c r="D448" s="22" t="s">
        <v>42</v>
      </c>
      <c r="E448" s="36">
        <f>3173/85.57</f>
        <v>37.08075260021036</v>
      </c>
      <c r="F448" s="26" t="s">
        <v>18</v>
      </c>
      <c r="G448" s="25"/>
      <c r="H448" s="37">
        <v>85.57</v>
      </c>
    </row>
    <row r="449" spans="2:8" ht="12.75">
      <c r="B449" s="14" t="s">
        <v>37</v>
      </c>
      <c r="C449" s="15">
        <v>43667</v>
      </c>
      <c r="D449" s="16" t="s">
        <v>61</v>
      </c>
      <c r="E449" s="34">
        <v>100</v>
      </c>
      <c r="F449" s="18" t="s">
        <v>9</v>
      </c>
      <c r="G449" s="19">
        <v>7</v>
      </c>
      <c r="H449" s="81">
        <v>46.83</v>
      </c>
    </row>
    <row r="450" spans="2:8" ht="12.75">
      <c r="B450" s="20" t="s">
        <v>45</v>
      </c>
      <c r="C450" s="21"/>
      <c r="D450" s="22" t="s">
        <v>44</v>
      </c>
      <c r="E450" s="36">
        <f>4683/54.16</f>
        <v>86.46602658788774</v>
      </c>
      <c r="F450" s="24" t="s">
        <v>12</v>
      </c>
      <c r="G450" s="25"/>
      <c r="H450" s="76">
        <v>54.16</v>
      </c>
    </row>
    <row r="451" spans="2:8" ht="12.75">
      <c r="B451" s="20"/>
      <c r="C451" s="21"/>
      <c r="D451" s="22" t="s">
        <v>46</v>
      </c>
      <c r="E451" s="36">
        <f>4683/64.71</f>
        <v>72.36903106165973</v>
      </c>
      <c r="F451" s="24" t="s">
        <v>14</v>
      </c>
      <c r="G451" s="25"/>
      <c r="H451" s="76">
        <v>64.71</v>
      </c>
    </row>
    <row r="452" spans="2:8" ht="12.75">
      <c r="B452" s="20"/>
      <c r="C452" s="21"/>
      <c r="D452" s="22" t="s">
        <v>8</v>
      </c>
      <c r="E452" s="36">
        <f>4683/79.21</f>
        <v>59.12132306526954</v>
      </c>
      <c r="F452" s="26" t="s">
        <v>16</v>
      </c>
      <c r="G452" s="25"/>
      <c r="H452" s="76">
        <v>79.21</v>
      </c>
    </row>
    <row r="453" spans="2:8" ht="12.75">
      <c r="B453" s="20"/>
      <c r="C453" s="21"/>
      <c r="D453" s="22" t="s">
        <v>47</v>
      </c>
      <c r="E453" s="36">
        <f>4683/83.53</f>
        <v>56.06368969232611</v>
      </c>
      <c r="F453" s="26" t="s">
        <v>18</v>
      </c>
      <c r="G453" s="25"/>
      <c r="H453" s="76">
        <v>83.53</v>
      </c>
    </row>
    <row r="454" spans="2:8" ht="12.75">
      <c r="B454" s="20"/>
      <c r="C454" s="21"/>
      <c r="D454" s="22" t="s">
        <v>186</v>
      </c>
      <c r="E454" s="36">
        <f>4683/112.46</f>
        <v>41.641472523563934</v>
      </c>
      <c r="F454" s="26" t="s">
        <v>20</v>
      </c>
      <c r="G454" s="25"/>
      <c r="H454" s="76">
        <v>112.46</v>
      </c>
    </row>
    <row r="455" spans="2:8" ht="12.75">
      <c r="B455" s="27"/>
      <c r="C455" s="28"/>
      <c r="D455" s="29" t="s">
        <v>21</v>
      </c>
      <c r="E455" s="38">
        <f>4683/138.58</f>
        <v>33.792755087314184</v>
      </c>
      <c r="F455" s="31" t="s">
        <v>22</v>
      </c>
      <c r="G455" s="32"/>
      <c r="H455" s="77">
        <v>138.58</v>
      </c>
    </row>
    <row r="456" spans="2:7" ht="12.75">
      <c r="B456" s="10" t="s">
        <v>1</v>
      </c>
      <c r="C456" s="11" t="s">
        <v>2</v>
      </c>
      <c r="D456" s="12" t="s">
        <v>3</v>
      </c>
      <c r="E456" s="12" t="s">
        <v>4</v>
      </c>
      <c r="F456" s="12" t="s">
        <v>5</v>
      </c>
      <c r="G456" s="13" t="s">
        <v>6</v>
      </c>
    </row>
    <row r="457" spans="2:8" ht="12.75">
      <c r="B457" s="14" t="s">
        <v>37</v>
      </c>
      <c r="C457" s="15">
        <v>43673</v>
      </c>
      <c r="D457" s="16" t="s">
        <v>175</v>
      </c>
      <c r="E457" s="34">
        <v>100</v>
      </c>
      <c r="F457" s="18" t="s">
        <v>9</v>
      </c>
      <c r="G457" s="19">
        <v>5</v>
      </c>
      <c r="H457" s="49">
        <v>42.84</v>
      </c>
    </row>
    <row r="458" spans="2:8" ht="12.75">
      <c r="B458" s="20" t="s">
        <v>39</v>
      </c>
      <c r="C458" s="21"/>
      <c r="D458" s="22" t="s">
        <v>41</v>
      </c>
      <c r="E458" s="36">
        <f>4284/47.67</f>
        <v>89.86784140969162</v>
      </c>
      <c r="F458" s="24" t="s">
        <v>12</v>
      </c>
      <c r="G458" s="25"/>
      <c r="H458" s="51">
        <v>47.67</v>
      </c>
    </row>
    <row r="459" spans="2:8" ht="12.75">
      <c r="B459" s="20"/>
      <c r="C459" s="21"/>
      <c r="D459" s="22" t="s">
        <v>86</v>
      </c>
      <c r="E459" s="36">
        <f>4284/62.02</f>
        <v>69.0744920993228</v>
      </c>
      <c r="F459" s="33" t="s">
        <v>14</v>
      </c>
      <c r="G459" s="25"/>
      <c r="H459" s="51">
        <v>62.02</v>
      </c>
    </row>
    <row r="460" spans="2:8" ht="12.75">
      <c r="B460" s="20"/>
      <c r="C460" s="21"/>
      <c r="D460" s="22" t="s">
        <v>83</v>
      </c>
      <c r="E460" s="36">
        <f>4284/62.46</f>
        <v>68.58789625360231</v>
      </c>
      <c r="F460" s="26" t="s">
        <v>16</v>
      </c>
      <c r="G460" s="25"/>
      <c r="H460" s="51">
        <v>62.46</v>
      </c>
    </row>
    <row r="461" spans="2:8" ht="12.75">
      <c r="B461" s="20"/>
      <c r="C461" s="21"/>
      <c r="D461" s="22" t="s">
        <v>187</v>
      </c>
      <c r="E461" s="36">
        <f>4284/124.9</f>
        <v>34.29943955164131</v>
      </c>
      <c r="F461" s="26" t="s">
        <v>18</v>
      </c>
      <c r="G461" s="25"/>
      <c r="H461" s="53">
        <v>124.9</v>
      </c>
    </row>
    <row r="462" spans="2:8" ht="12.75">
      <c r="B462" s="14" t="s">
        <v>37</v>
      </c>
      <c r="C462" s="15">
        <v>43673</v>
      </c>
      <c r="D462" s="16" t="s">
        <v>44</v>
      </c>
      <c r="E462" s="34">
        <v>100</v>
      </c>
      <c r="F462" s="18" t="s">
        <v>9</v>
      </c>
      <c r="G462" s="19">
        <v>7</v>
      </c>
      <c r="H462" s="81">
        <v>45.87</v>
      </c>
    </row>
    <row r="463" spans="2:8" ht="12.75">
      <c r="B463" s="20" t="s">
        <v>45</v>
      </c>
      <c r="C463" s="21"/>
      <c r="D463" s="22" t="s">
        <v>19</v>
      </c>
      <c r="E463" s="36">
        <f>4587/52.81</f>
        <v>86.85854951713691</v>
      </c>
      <c r="F463" s="24" t="s">
        <v>12</v>
      </c>
      <c r="G463" s="25"/>
      <c r="H463" s="76">
        <v>52.81</v>
      </c>
    </row>
    <row r="464" spans="2:8" ht="12.75">
      <c r="B464" s="20"/>
      <c r="C464" s="21"/>
      <c r="D464" s="82" t="s">
        <v>61</v>
      </c>
      <c r="E464" s="36">
        <f>4587/54.3</f>
        <v>84.47513812154696</v>
      </c>
      <c r="F464" s="24" t="s">
        <v>14</v>
      </c>
      <c r="G464" s="25"/>
      <c r="H464" s="76">
        <v>54.3</v>
      </c>
    </row>
    <row r="465" spans="2:8" ht="12.75">
      <c r="B465" s="20"/>
      <c r="C465" s="21"/>
      <c r="D465" s="83" t="s">
        <v>46</v>
      </c>
      <c r="E465" s="36">
        <f>4587/81.7</f>
        <v>56.14443084455324</v>
      </c>
      <c r="F465" s="26" t="s">
        <v>16</v>
      </c>
      <c r="G465" s="25"/>
      <c r="H465" s="76">
        <v>81.7</v>
      </c>
    </row>
    <row r="466" spans="2:8" ht="12.75">
      <c r="B466" s="20"/>
      <c r="C466" s="21"/>
      <c r="D466" s="22" t="s">
        <v>74</v>
      </c>
      <c r="E466" s="36">
        <f>4587/103.99</f>
        <v>44.11001057794019</v>
      </c>
      <c r="F466" s="26" t="s">
        <v>18</v>
      </c>
      <c r="G466" s="25"/>
      <c r="H466" s="51">
        <v>103.99</v>
      </c>
    </row>
    <row r="467" spans="2:8" ht="12.75">
      <c r="B467" s="20"/>
      <c r="C467" s="21"/>
      <c r="D467" s="82" t="s">
        <v>70</v>
      </c>
      <c r="E467" s="36">
        <f>4587/133.79</f>
        <v>34.28507362284177</v>
      </c>
      <c r="F467" s="26" t="s">
        <v>20</v>
      </c>
      <c r="G467" s="25"/>
      <c r="H467" s="84">
        <v>133.79</v>
      </c>
    </row>
    <row r="468" spans="2:8" ht="12.75">
      <c r="B468" s="27"/>
      <c r="C468" s="28"/>
      <c r="D468" s="29" t="s">
        <v>21</v>
      </c>
      <c r="E468" s="38">
        <f>4587/134.85</f>
        <v>34.01557285873193</v>
      </c>
      <c r="F468" s="31" t="s">
        <v>22</v>
      </c>
      <c r="G468" s="32"/>
      <c r="H468" s="77">
        <v>134.85</v>
      </c>
    </row>
    <row r="469" spans="2:8" ht="12.75">
      <c r="B469" s="14" t="s">
        <v>37</v>
      </c>
      <c r="C469" s="15">
        <v>43673</v>
      </c>
      <c r="D469" s="16" t="s">
        <v>188</v>
      </c>
      <c r="E469" s="34">
        <v>100</v>
      </c>
      <c r="F469" s="18" t="s">
        <v>9</v>
      </c>
      <c r="G469" s="19">
        <v>1</v>
      </c>
      <c r="H469" s="81">
        <v>51.59</v>
      </c>
    </row>
    <row r="470" spans="2:8" ht="12.75">
      <c r="B470" s="27" t="s">
        <v>189</v>
      </c>
      <c r="C470" s="28"/>
      <c r="D470" s="29"/>
      <c r="E470" s="38"/>
      <c r="F470" s="31"/>
      <c r="G470" s="32"/>
      <c r="H470" s="77"/>
    </row>
    <row r="471" spans="2:7" ht="12.75">
      <c r="B471" s="10" t="s">
        <v>1</v>
      </c>
      <c r="C471" s="11" t="s">
        <v>2</v>
      </c>
      <c r="D471" s="12" t="s">
        <v>3</v>
      </c>
      <c r="E471" s="12" t="s">
        <v>4</v>
      </c>
      <c r="F471" s="12" t="s">
        <v>5</v>
      </c>
      <c r="G471" s="13" t="s">
        <v>6</v>
      </c>
    </row>
    <row r="472" spans="2:7" ht="12.75">
      <c r="B472" s="14" t="s">
        <v>73</v>
      </c>
      <c r="C472" s="15">
        <v>43674</v>
      </c>
      <c r="D472" s="16" t="s">
        <v>19</v>
      </c>
      <c r="E472" s="17">
        <v>166</v>
      </c>
      <c r="F472" s="18" t="s">
        <v>9</v>
      </c>
      <c r="G472" s="19">
        <v>10</v>
      </c>
    </row>
    <row r="473" spans="2:7" ht="12.75">
      <c r="B473" s="20"/>
      <c r="C473" s="21"/>
      <c r="D473" s="40" t="s">
        <v>57</v>
      </c>
      <c r="E473" s="41">
        <v>153</v>
      </c>
      <c r="F473" s="24" t="s">
        <v>12</v>
      </c>
      <c r="G473" s="25"/>
    </row>
    <row r="474" spans="2:7" ht="12.75">
      <c r="B474" s="20"/>
      <c r="C474" s="21"/>
      <c r="D474" s="22" t="s">
        <v>43</v>
      </c>
      <c r="E474" s="42">
        <v>146</v>
      </c>
      <c r="F474" s="24" t="s">
        <v>14</v>
      </c>
      <c r="G474" s="25"/>
    </row>
    <row r="475" spans="2:7" ht="12.75">
      <c r="B475" s="20"/>
      <c r="C475" s="21"/>
      <c r="D475" s="22" t="s">
        <v>175</v>
      </c>
      <c r="E475" s="42">
        <v>145</v>
      </c>
      <c r="F475" s="33" t="s">
        <v>16</v>
      </c>
      <c r="G475" s="25"/>
    </row>
    <row r="476" spans="2:7" ht="12.75">
      <c r="B476" s="20"/>
      <c r="C476" s="21"/>
      <c r="D476" s="22" t="s">
        <v>41</v>
      </c>
      <c r="E476" s="42">
        <v>120</v>
      </c>
      <c r="F476" s="33" t="s">
        <v>18</v>
      </c>
      <c r="G476" s="25"/>
    </row>
    <row r="477" spans="2:7" ht="12.75">
      <c r="B477" s="20"/>
      <c r="C477" s="21"/>
      <c r="D477" s="22" t="s">
        <v>40</v>
      </c>
      <c r="E477" s="42">
        <v>105</v>
      </c>
      <c r="F477" s="33" t="s">
        <v>20</v>
      </c>
      <c r="G477" s="25"/>
    </row>
    <row r="478" spans="2:7" ht="12.75">
      <c r="B478" s="20"/>
      <c r="C478" s="21"/>
      <c r="D478" s="22" t="s">
        <v>8</v>
      </c>
      <c r="E478" s="42">
        <v>102</v>
      </c>
      <c r="F478" s="33" t="s">
        <v>22</v>
      </c>
      <c r="G478" s="25"/>
    </row>
    <row r="479" spans="2:7" ht="12.75">
      <c r="B479" s="20"/>
      <c r="C479" s="21"/>
      <c r="D479" s="22" t="s">
        <v>11</v>
      </c>
      <c r="E479" s="42">
        <v>91</v>
      </c>
      <c r="F479" s="33" t="s">
        <v>50</v>
      </c>
      <c r="G479" s="25"/>
    </row>
    <row r="480" spans="2:7" ht="12.75">
      <c r="B480" s="20"/>
      <c r="C480" s="21"/>
      <c r="D480" s="22" t="s">
        <v>74</v>
      </c>
      <c r="E480" s="42">
        <v>63</v>
      </c>
      <c r="F480" s="33" t="s">
        <v>51</v>
      </c>
      <c r="G480" s="25"/>
    </row>
    <row r="481" spans="2:7" ht="12.75">
      <c r="B481" s="27"/>
      <c r="C481" s="28"/>
      <c r="D481" s="29" t="s">
        <v>46</v>
      </c>
      <c r="E481" s="44">
        <v>40</v>
      </c>
      <c r="F481" s="31" t="s">
        <v>67</v>
      </c>
      <c r="G481" s="32"/>
    </row>
    <row r="482" spans="2:7" ht="12.75">
      <c r="B482" s="10" t="s">
        <v>1</v>
      </c>
      <c r="C482" s="11" t="s">
        <v>2</v>
      </c>
      <c r="D482" s="12" t="s">
        <v>3</v>
      </c>
      <c r="E482" s="12" t="s">
        <v>4</v>
      </c>
      <c r="F482" s="12" t="s">
        <v>5</v>
      </c>
      <c r="G482" s="13" t="s">
        <v>6</v>
      </c>
    </row>
    <row r="483" spans="2:7" ht="12.75">
      <c r="B483" s="14" t="s">
        <v>190</v>
      </c>
      <c r="C483" s="15">
        <v>43680</v>
      </c>
      <c r="D483" s="16" t="s">
        <v>13</v>
      </c>
      <c r="E483" s="17">
        <v>531</v>
      </c>
      <c r="F483" s="18" t="s">
        <v>9</v>
      </c>
      <c r="G483" s="19">
        <v>3</v>
      </c>
    </row>
    <row r="484" spans="2:7" ht="12.75">
      <c r="B484" s="20"/>
      <c r="C484" s="21"/>
      <c r="D484" s="40" t="s">
        <v>40</v>
      </c>
      <c r="E484" s="41">
        <v>497</v>
      </c>
      <c r="F484" s="33" t="s">
        <v>12</v>
      </c>
      <c r="G484" s="25"/>
    </row>
    <row r="485" spans="2:7" ht="12.75">
      <c r="B485" s="27"/>
      <c r="C485" s="28"/>
      <c r="D485" s="29" t="s">
        <v>28</v>
      </c>
      <c r="E485" s="44">
        <v>493</v>
      </c>
      <c r="F485" s="31" t="s">
        <v>14</v>
      </c>
      <c r="G485" s="32"/>
    </row>
    <row r="486" spans="2:7" ht="12.75">
      <c r="B486" s="10" t="s">
        <v>1</v>
      </c>
      <c r="C486" s="11" t="s">
        <v>2</v>
      </c>
      <c r="D486" s="12" t="s">
        <v>3</v>
      </c>
      <c r="E486" s="12" t="s">
        <v>4</v>
      </c>
      <c r="F486" s="12" t="s">
        <v>5</v>
      </c>
      <c r="G486" s="13" t="s">
        <v>6</v>
      </c>
    </row>
    <row r="487" spans="2:7" ht="12.75">
      <c r="B487" s="14" t="s">
        <v>55</v>
      </c>
      <c r="C487" s="15">
        <v>43681</v>
      </c>
      <c r="D487" s="16" t="s">
        <v>41</v>
      </c>
      <c r="E487" s="17">
        <v>90</v>
      </c>
      <c r="F487" s="18" t="s">
        <v>9</v>
      </c>
      <c r="G487" s="19">
        <v>6</v>
      </c>
    </row>
    <row r="488" spans="2:7" ht="12.75">
      <c r="B488" s="20" t="s">
        <v>56</v>
      </c>
      <c r="C488" s="21"/>
      <c r="D488" s="22" t="s">
        <v>57</v>
      </c>
      <c r="E488" s="23">
        <v>75</v>
      </c>
      <c r="F488" s="24" t="s">
        <v>12</v>
      </c>
      <c r="G488" s="25"/>
    </row>
    <row r="489" spans="2:7" ht="12.75">
      <c r="B489" s="20"/>
      <c r="C489" s="21"/>
      <c r="D489" s="22" t="s">
        <v>175</v>
      </c>
      <c r="E489" s="23">
        <v>74</v>
      </c>
      <c r="F489" s="24" t="s">
        <v>14</v>
      </c>
      <c r="G489" s="25"/>
    </row>
    <row r="490" spans="2:7" ht="12.75">
      <c r="B490" s="20"/>
      <c r="C490" s="21"/>
      <c r="D490" s="22" t="s">
        <v>46</v>
      </c>
      <c r="E490" s="23">
        <v>67</v>
      </c>
      <c r="F490" s="33" t="s">
        <v>16</v>
      </c>
      <c r="G490" s="25"/>
    </row>
    <row r="491" spans="2:7" ht="12.75">
      <c r="B491" s="20"/>
      <c r="C491" s="21"/>
      <c r="D491" s="22" t="s">
        <v>40</v>
      </c>
      <c r="E491" s="23">
        <v>61</v>
      </c>
      <c r="F491" s="33" t="s">
        <v>18</v>
      </c>
      <c r="G491" s="25"/>
    </row>
    <row r="492" spans="2:7" ht="12.75">
      <c r="B492" s="20"/>
      <c r="C492" s="21"/>
      <c r="D492" s="22" t="s">
        <v>42</v>
      </c>
      <c r="E492" s="23">
        <v>44</v>
      </c>
      <c r="F492" s="33" t="s">
        <v>20</v>
      </c>
      <c r="G492" s="25"/>
    </row>
    <row r="493" spans="2:7" ht="12.75">
      <c r="B493" s="14" t="s">
        <v>55</v>
      </c>
      <c r="C493" s="15">
        <v>43681</v>
      </c>
      <c r="D493" s="16" t="s">
        <v>19</v>
      </c>
      <c r="E493" s="17">
        <v>36</v>
      </c>
      <c r="F493" s="47" t="s">
        <v>9</v>
      </c>
      <c r="G493" s="19">
        <v>2</v>
      </c>
    </row>
    <row r="494" spans="2:7" ht="12.75">
      <c r="B494" s="20" t="s">
        <v>59</v>
      </c>
      <c r="C494" s="21"/>
      <c r="D494" s="22" t="s">
        <v>58</v>
      </c>
      <c r="E494" s="23">
        <v>32</v>
      </c>
      <c r="F494" s="33" t="s">
        <v>12</v>
      </c>
      <c r="G494" s="25"/>
    </row>
    <row r="495" spans="2:7" ht="12.75">
      <c r="B495" s="14" t="s">
        <v>55</v>
      </c>
      <c r="C495" s="15">
        <v>43681</v>
      </c>
      <c r="D495" s="16" t="s">
        <v>52</v>
      </c>
      <c r="E495" s="17">
        <v>6</v>
      </c>
      <c r="F495" s="18" t="s">
        <v>9</v>
      </c>
      <c r="G495" s="19">
        <v>1</v>
      </c>
    </row>
    <row r="496" spans="2:7" ht="12.75">
      <c r="B496" s="27" t="s">
        <v>62</v>
      </c>
      <c r="C496" s="28"/>
      <c r="D496" s="43"/>
      <c r="E496" s="44"/>
      <c r="F496" s="31"/>
      <c r="G496" s="32"/>
    </row>
    <row r="497" spans="2:7" ht="12.75">
      <c r="B497" s="10" t="s">
        <v>1</v>
      </c>
      <c r="C497" s="11" t="s">
        <v>2</v>
      </c>
      <c r="D497" s="12" t="s">
        <v>3</v>
      </c>
      <c r="E497" s="12" t="s">
        <v>4</v>
      </c>
      <c r="F497" s="12" t="s">
        <v>5</v>
      </c>
      <c r="G497" s="13" t="s">
        <v>6</v>
      </c>
    </row>
    <row r="498" spans="2:7" ht="12.75">
      <c r="B498" s="14" t="s">
        <v>60</v>
      </c>
      <c r="C498" s="15">
        <v>43681</v>
      </c>
      <c r="D498" s="16" t="s">
        <v>175</v>
      </c>
      <c r="E498" s="17">
        <v>97</v>
      </c>
      <c r="F498" s="18" t="s">
        <v>9</v>
      </c>
      <c r="G498" s="19">
        <v>10</v>
      </c>
    </row>
    <row r="499" spans="2:7" ht="12.75">
      <c r="B499" s="20" t="s">
        <v>56</v>
      </c>
      <c r="C499" s="21"/>
      <c r="D499" s="40" t="s">
        <v>41</v>
      </c>
      <c r="E499" s="41">
        <v>91</v>
      </c>
      <c r="F499" s="24" t="s">
        <v>12</v>
      </c>
      <c r="G499" s="25"/>
    </row>
    <row r="500" spans="2:7" ht="12.75">
      <c r="B500" s="20"/>
      <c r="C500" s="21"/>
      <c r="D500" s="22" t="s">
        <v>46</v>
      </c>
      <c r="E500" s="42">
        <v>85</v>
      </c>
      <c r="F500" s="24" t="s">
        <v>14</v>
      </c>
      <c r="G500" s="25"/>
    </row>
    <row r="501" spans="2:7" ht="12.75">
      <c r="B501" s="20"/>
      <c r="C501" s="21"/>
      <c r="D501" s="22" t="s">
        <v>191</v>
      </c>
      <c r="E501" s="42">
        <v>76</v>
      </c>
      <c r="F501" s="33" t="s">
        <v>16</v>
      </c>
      <c r="G501" s="25"/>
    </row>
    <row r="502" spans="2:7" ht="12.75">
      <c r="B502" s="20"/>
      <c r="C502" s="21"/>
      <c r="D502" s="22" t="s">
        <v>192</v>
      </c>
      <c r="E502" s="42">
        <v>76</v>
      </c>
      <c r="F502" s="33" t="s">
        <v>18</v>
      </c>
      <c r="G502" s="25"/>
    </row>
    <row r="503" spans="2:7" ht="12.75">
      <c r="B503" s="20"/>
      <c r="C503" s="21"/>
      <c r="D503" s="22" t="s">
        <v>43</v>
      </c>
      <c r="E503" s="42">
        <v>74</v>
      </c>
      <c r="F503" s="33" t="s">
        <v>20</v>
      </c>
      <c r="G503" s="25"/>
    </row>
    <row r="504" spans="2:7" ht="12.75">
      <c r="B504" s="20"/>
      <c r="C504" s="21"/>
      <c r="D504" s="22" t="s">
        <v>193</v>
      </c>
      <c r="E504" s="42">
        <v>71</v>
      </c>
      <c r="F504" s="33" t="s">
        <v>22</v>
      </c>
      <c r="G504" s="25"/>
    </row>
    <row r="505" spans="2:7" ht="12.75">
      <c r="B505" s="20"/>
      <c r="C505" s="21"/>
      <c r="D505" s="22" t="s">
        <v>40</v>
      </c>
      <c r="E505" s="42">
        <v>65</v>
      </c>
      <c r="F505" s="33" t="s">
        <v>50</v>
      </c>
      <c r="G505" s="25"/>
    </row>
    <row r="506" spans="2:7" ht="12.75">
      <c r="B506" s="20"/>
      <c r="C506" s="21"/>
      <c r="D506" s="22" t="s">
        <v>57</v>
      </c>
      <c r="E506" s="42">
        <v>64</v>
      </c>
      <c r="F506" s="33" t="s">
        <v>51</v>
      </c>
      <c r="G506" s="25"/>
    </row>
    <row r="507" spans="2:7" ht="12.75">
      <c r="B507" s="20"/>
      <c r="C507" s="21"/>
      <c r="D507" s="22" t="s">
        <v>194</v>
      </c>
      <c r="E507" s="42">
        <v>27</v>
      </c>
      <c r="F507" s="33" t="s">
        <v>67</v>
      </c>
      <c r="G507" s="25"/>
    </row>
    <row r="508" spans="2:7" ht="12.75">
      <c r="B508" s="14" t="s">
        <v>60</v>
      </c>
      <c r="C508" s="15">
        <v>43681</v>
      </c>
      <c r="D508" s="16" t="s">
        <v>58</v>
      </c>
      <c r="E508" s="17">
        <v>59</v>
      </c>
      <c r="F508" s="18" t="s">
        <v>9</v>
      </c>
      <c r="G508" s="19">
        <v>2</v>
      </c>
    </row>
    <row r="509" spans="2:7" ht="12.75">
      <c r="B509" s="20" t="s">
        <v>59</v>
      </c>
      <c r="C509" s="21"/>
      <c r="D509" s="40" t="s">
        <v>61</v>
      </c>
      <c r="E509" s="41">
        <v>58</v>
      </c>
      <c r="F509" s="33" t="s">
        <v>12</v>
      </c>
      <c r="G509" s="25"/>
    </row>
    <row r="510" spans="2:7" ht="12.75">
      <c r="B510" s="20"/>
      <c r="C510" s="21"/>
      <c r="D510" s="22" t="s">
        <v>195</v>
      </c>
      <c r="E510" s="42">
        <v>53</v>
      </c>
      <c r="F510" s="33" t="s">
        <v>14</v>
      </c>
      <c r="G510" s="25"/>
    </row>
    <row r="511" spans="2:7" ht="12.75">
      <c r="B511" s="20"/>
      <c r="C511" s="21"/>
      <c r="D511" s="22" t="s">
        <v>21</v>
      </c>
      <c r="E511" s="42">
        <v>39</v>
      </c>
      <c r="F511" s="33" t="s">
        <v>16</v>
      </c>
      <c r="G511" s="25"/>
    </row>
    <row r="512" spans="2:7" ht="12.75">
      <c r="B512" s="14" t="s">
        <v>60</v>
      </c>
      <c r="C512" s="15">
        <v>43681</v>
      </c>
      <c r="D512" s="16" t="s">
        <v>79</v>
      </c>
      <c r="E512" s="17">
        <v>74</v>
      </c>
      <c r="F512" s="18" t="s">
        <v>9</v>
      </c>
      <c r="G512" s="19">
        <v>2</v>
      </c>
    </row>
    <row r="513" spans="2:7" ht="12.75">
      <c r="B513" s="27" t="s">
        <v>62</v>
      </c>
      <c r="C513" s="28"/>
      <c r="D513" s="43" t="s">
        <v>52</v>
      </c>
      <c r="E513" s="44">
        <v>41</v>
      </c>
      <c r="F513" s="31" t="s">
        <v>12</v>
      </c>
      <c r="G513" s="32"/>
    </row>
    <row r="514" spans="2:7" ht="12.75">
      <c r="B514" s="10" t="s">
        <v>1</v>
      </c>
      <c r="C514" s="11" t="s">
        <v>2</v>
      </c>
      <c r="D514" s="12" t="s">
        <v>3</v>
      </c>
      <c r="E514" s="12" t="s">
        <v>4</v>
      </c>
      <c r="F514" s="12" t="s">
        <v>5</v>
      </c>
      <c r="G514" s="13" t="s">
        <v>6</v>
      </c>
    </row>
    <row r="515" spans="2:7" ht="12.75">
      <c r="B515" s="14" t="s">
        <v>78</v>
      </c>
      <c r="C515" s="15">
        <v>43688</v>
      </c>
      <c r="D515" s="16" t="s">
        <v>44</v>
      </c>
      <c r="E515" s="17">
        <v>19</v>
      </c>
      <c r="F515" s="18" t="s">
        <v>9</v>
      </c>
      <c r="G515" s="19">
        <v>6</v>
      </c>
    </row>
    <row r="516" spans="2:7" ht="12.75">
      <c r="B516" s="20"/>
      <c r="C516" s="21"/>
      <c r="D516" s="22" t="s">
        <v>41</v>
      </c>
      <c r="E516" s="23">
        <v>15</v>
      </c>
      <c r="F516" s="24" t="s">
        <v>12</v>
      </c>
      <c r="G516" s="25"/>
    </row>
    <row r="517" spans="2:7" ht="12.75">
      <c r="B517" s="20"/>
      <c r="C517" s="21"/>
      <c r="D517" s="22" t="s">
        <v>175</v>
      </c>
      <c r="E517" s="23">
        <v>15</v>
      </c>
      <c r="F517" s="24" t="s">
        <v>14</v>
      </c>
      <c r="G517" s="25"/>
    </row>
    <row r="518" spans="2:7" ht="12.75">
      <c r="B518" s="20"/>
      <c r="C518" s="21"/>
      <c r="D518" s="22" t="s">
        <v>196</v>
      </c>
      <c r="E518" s="23">
        <v>13</v>
      </c>
      <c r="F518" s="26" t="s">
        <v>16</v>
      </c>
      <c r="G518" s="25"/>
    </row>
    <row r="519" spans="2:7" ht="12.75">
      <c r="B519" s="20"/>
      <c r="C519" s="21"/>
      <c r="D519" s="22" t="s">
        <v>83</v>
      </c>
      <c r="E519" s="23">
        <v>11</v>
      </c>
      <c r="F519" s="26" t="s">
        <v>18</v>
      </c>
      <c r="G519" s="25"/>
    </row>
    <row r="520" spans="2:7" ht="12.75">
      <c r="B520" s="27"/>
      <c r="C520" s="28"/>
      <c r="D520" s="29" t="s">
        <v>79</v>
      </c>
      <c r="E520" s="30">
        <v>11</v>
      </c>
      <c r="F520" s="31" t="s">
        <v>18</v>
      </c>
      <c r="G520" s="32"/>
    </row>
    <row r="521" spans="2:7" ht="12.75">
      <c r="B521" s="10" t="s">
        <v>1</v>
      </c>
      <c r="C521" s="11" t="s">
        <v>2</v>
      </c>
      <c r="D521" s="12" t="s">
        <v>3</v>
      </c>
      <c r="E521" s="12" t="s">
        <v>4</v>
      </c>
      <c r="F521" s="12" t="s">
        <v>5</v>
      </c>
      <c r="G521" s="13" t="s">
        <v>6</v>
      </c>
    </row>
    <row r="522" spans="2:7" ht="12.75">
      <c r="B522" s="14" t="s">
        <v>197</v>
      </c>
      <c r="C522" s="15">
        <v>43694</v>
      </c>
      <c r="D522" s="16" t="s">
        <v>198</v>
      </c>
      <c r="E522" s="17">
        <v>521</v>
      </c>
      <c r="F522" s="18" t="s">
        <v>9</v>
      </c>
      <c r="G522" s="19">
        <v>4</v>
      </c>
    </row>
    <row r="523" spans="2:7" ht="12.75">
      <c r="B523" s="20"/>
      <c r="C523" s="21"/>
      <c r="D523" s="22" t="s">
        <v>28</v>
      </c>
      <c r="E523" s="23">
        <v>504</v>
      </c>
      <c r="F523" s="33" t="s">
        <v>12</v>
      </c>
      <c r="G523" s="25"/>
    </row>
    <row r="524" spans="2:7" ht="12.75">
      <c r="B524" s="20"/>
      <c r="C524" s="21"/>
      <c r="D524" s="22" t="s">
        <v>13</v>
      </c>
      <c r="E524" s="23">
        <v>497</v>
      </c>
      <c r="F524" s="33" t="s">
        <v>14</v>
      </c>
      <c r="G524" s="25"/>
    </row>
    <row r="525" spans="2:7" ht="12.75">
      <c r="B525" s="27"/>
      <c r="C525" s="28"/>
      <c r="D525" s="29" t="s">
        <v>40</v>
      </c>
      <c r="E525" s="30">
        <v>470</v>
      </c>
      <c r="F525" s="31" t="s">
        <v>16</v>
      </c>
      <c r="G525" s="32"/>
    </row>
    <row r="526" spans="2:7" ht="12.75">
      <c r="B526" s="10" t="s">
        <v>1</v>
      </c>
      <c r="C526" s="11" t="s">
        <v>2</v>
      </c>
      <c r="D526" s="12" t="s">
        <v>3</v>
      </c>
      <c r="E526" s="12" t="s">
        <v>4</v>
      </c>
      <c r="F526" s="12" t="s">
        <v>5</v>
      </c>
      <c r="G526" s="13" t="s">
        <v>6</v>
      </c>
    </row>
    <row r="527" spans="2:8" ht="12.75">
      <c r="B527" s="14" t="s">
        <v>37</v>
      </c>
      <c r="C527" s="15">
        <v>43695</v>
      </c>
      <c r="D527" s="16" t="s">
        <v>175</v>
      </c>
      <c r="E527" s="34">
        <v>100</v>
      </c>
      <c r="F527" s="18" t="s">
        <v>9</v>
      </c>
      <c r="G527" s="19">
        <v>8</v>
      </c>
      <c r="H527" s="35">
        <v>25.66</v>
      </c>
    </row>
    <row r="528" spans="2:8" ht="12.75">
      <c r="B528" s="20" t="s">
        <v>39</v>
      </c>
      <c r="C528" s="21"/>
      <c r="D528" s="22" t="s">
        <v>41</v>
      </c>
      <c r="E528" s="36">
        <f>2566/29.67</f>
        <v>86.48466464442197</v>
      </c>
      <c r="F528" s="24" t="s">
        <v>12</v>
      </c>
      <c r="G528" s="25"/>
      <c r="H528" s="37">
        <v>29.67</v>
      </c>
    </row>
    <row r="529" spans="2:8" ht="12.75">
      <c r="B529" s="20"/>
      <c r="C529" s="21"/>
      <c r="D529" s="22" t="s">
        <v>43</v>
      </c>
      <c r="E529" s="36">
        <f>2566/39.01</f>
        <v>65.7780056395796</v>
      </c>
      <c r="F529" s="24" t="s">
        <v>14</v>
      </c>
      <c r="G529" s="25"/>
      <c r="H529" s="37">
        <v>39.01</v>
      </c>
    </row>
    <row r="530" spans="2:8" ht="12.75">
      <c r="B530" s="20"/>
      <c r="C530" s="21"/>
      <c r="D530" s="22" t="s">
        <v>86</v>
      </c>
      <c r="E530" s="36">
        <f>2566/40.44</f>
        <v>63.45202769535114</v>
      </c>
      <c r="F530" s="26" t="s">
        <v>16</v>
      </c>
      <c r="G530" s="25"/>
      <c r="H530" s="37">
        <v>40.44</v>
      </c>
    </row>
    <row r="531" spans="2:8" ht="12.75">
      <c r="B531" s="20"/>
      <c r="C531" s="21"/>
      <c r="D531" s="22" t="s">
        <v>134</v>
      </c>
      <c r="E531" s="36">
        <f>2566/46.29</f>
        <v>55.43313890689134</v>
      </c>
      <c r="F531" s="26" t="s">
        <v>18</v>
      </c>
      <c r="G531" s="25"/>
      <c r="H531" s="37">
        <v>46.29</v>
      </c>
    </row>
    <row r="532" spans="2:8" ht="12.75">
      <c r="B532" s="20"/>
      <c r="C532" s="21"/>
      <c r="D532" s="22" t="s">
        <v>83</v>
      </c>
      <c r="E532" s="36">
        <f>2566/66.09</f>
        <v>38.82584354667877</v>
      </c>
      <c r="F532" s="26" t="s">
        <v>20</v>
      </c>
      <c r="G532" s="25"/>
      <c r="H532" s="37">
        <v>66.09</v>
      </c>
    </row>
    <row r="533" spans="2:8" ht="12.75">
      <c r="B533" s="20"/>
      <c r="C533" s="21"/>
      <c r="D533" s="22" t="s">
        <v>199</v>
      </c>
      <c r="E533" s="36">
        <f>2566/66.97</f>
        <v>38.31566373002837</v>
      </c>
      <c r="F533" s="26" t="s">
        <v>22</v>
      </c>
      <c r="G533" s="25"/>
      <c r="H533" s="37">
        <v>66.97</v>
      </c>
    </row>
    <row r="534" spans="2:8" ht="12.75">
      <c r="B534" s="20"/>
      <c r="C534" s="21"/>
      <c r="D534" s="22" t="s">
        <v>40</v>
      </c>
      <c r="E534" s="36">
        <f>2566/70.18</f>
        <v>36.563123396979194</v>
      </c>
      <c r="F534" s="26" t="s">
        <v>50</v>
      </c>
      <c r="G534" s="25"/>
      <c r="H534" s="37">
        <v>70.18</v>
      </c>
    </row>
    <row r="535" spans="2:8" ht="12.75">
      <c r="B535" s="14" t="s">
        <v>37</v>
      </c>
      <c r="C535" s="15">
        <v>43695</v>
      </c>
      <c r="D535" s="16" t="s">
        <v>44</v>
      </c>
      <c r="E535" s="34">
        <v>100</v>
      </c>
      <c r="F535" s="18" t="s">
        <v>9</v>
      </c>
      <c r="G535" s="19">
        <v>6</v>
      </c>
      <c r="H535" s="81">
        <v>44.41</v>
      </c>
    </row>
    <row r="536" spans="2:8" ht="12.75">
      <c r="B536" s="20" t="s">
        <v>45</v>
      </c>
      <c r="C536" s="21"/>
      <c r="D536" s="22" t="s">
        <v>61</v>
      </c>
      <c r="E536" s="36">
        <f>4441/69.93</f>
        <v>63.5063635063635</v>
      </c>
      <c r="F536" s="24" t="s">
        <v>12</v>
      </c>
      <c r="G536" s="25"/>
      <c r="H536" s="76">
        <v>69.93</v>
      </c>
    </row>
    <row r="537" spans="2:8" ht="12.75">
      <c r="B537" s="20"/>
      <c r="C537" s="21"/>
      <c r="D537" s="22" t="s">
        <v>47</v>
      </c>
      <c r="E537" s="36">
        <f>4441/77.04</f>
        <v>57.64537902388369</v>
      </c>
      <c r="F537" s="24" t="s">
        <v>14</v>
      </c>
      <c r="G537" s="25"/>
      <c r="H537" s="76">
        <v>77.04</v>
      </c>
    </row>
    <row r="538" spans="2:8" ht="12.75">
      <c r="B538" s="20"/>
      <c r="C538" s="21"/>
      <c r="D538" s="22" t="s">
        <v>70</v>
      </c>
      <c r="E538" s="36">
        <f>4441/77.06</f>
        <v>57.630417856215935</v>
      </c>
      <c r="F538" s="26" t="s">
        <v>16</v>
      </c>
      <c r="G538" s="25"/>
      <c r="H538" s="76">
        <v>77.06</v>
      </c>
    </row>
    <row r="539" spans="2:8" ht="12.75">
      <c r="B539" s="20"/>
      <c r="C539" s="21"/>
      <c r="D539" s="22" t="s">
        <v>74</v>
      </c>
      <c r="E539" s="36">
        <f>4441/97.35</f>
        <v>45.618900873138166</v>
      </c>
      <c r="F539" s="26" t="s">
        <v>18</v>
      </c>
      <c r="G539" s="25"/>
      <c r="H539" s="76">
        <v>97.35</v>
      </c>
    </row>
    <row r="540" spans="2:8" ht="12.75">
      <c r="B540" s="27"/>
      <c r="C540" s="28"/>
      <c r="D540" s="29" t="s">
        <v>46</v>
      </c>
      <c r="E540" s="38">
        <f>4441/111.23</f>
        <v>39.92627888159669</v>
      </c>
      <c r="F540" s="31" t="s">
        <v>20</v>
      </c>
      <c r="G540" s="32"/>
      <c r="H540" s="77">
        <v>111.23</v>
      </c>
    </row>
    <row r="541" spans="2:7" ht="12.75">
      <c r="B541" s="10" t="s">
        <v>1</v>
      </c>
      <c r="C541" s="11" t="s">
        <v>2</v>
      </c>
      <c r="D541" s="12" t="s">
        <v>3</v>
      </c>
      <c r="E541" s="12" t="s">
        <v>4</v>
      </c>
      <c r="F541" s="12" t="s">
        <v>5</v>
      </c>
      <c r="G541" s="13" t="s">
        <v>6</v>
      </c>
    </row>
    <row r="542" spans="2:8" ht="12.75">
      <c r="B542" s="14" t="s">
        <v>81</v>
      </c>
      <c r="C542" s="15">
        <v>43701</v>
      </c>
      <c r="D542" s="16" t="s">
        <v>44</v>
      </c>
      <c r="E542" s="34">
        <v>100</v>
      </c>
      <c r="F542" s="18" t="s">
        <v>9</v>
      </c>
      <c r="G542" s="19">
        <v>11</v>
      </c>
      <c r="H542" s="35">
        <v>27.36</v>
      </c>
    </row>
    <row r="543" spans="2:8" ht="12.75">
      <c r="B543" s="20" t="s">
        <v>82</v>
      </c>
      <c r="C543" s="21"/>
      <c r="D543" s="22" t="s">
        <v>175</v>
      </c>
      <c r="E543" s="36">
        <f>2736/27.87</f>
        <v>98.17007534983853</v>
      </c>
      <c r="F543" s="24" t="s">
        <v>12</v>
      </c>
      <c r="G543" s="25"/>
      <c r="H543" s="37">
        <v>27.87</v>
      </c>
    </row>
    <row r="544" spans="2:8" ht="12.75">
      <c r="B544" s="20"/>
      <c r="C544" s="21"/>
      <c r="D544" s="22" t="s">
        <v>41</v>
      </c>
      <c r="E544" s="36">
        <f>2736/41.21</f>
        <v>66.39165251152633</v>
      </c>
      <c r="F544" s="24" t="s">
        <v>14</v>
      </c>
      <c r="G544" s="25"/>
      <c r="H544" s="37">
        <v>41.21</v>
      </c>
    </row>
    <row r="545" spans="2:8" ht="12.75">
      <c r="B545" s="20"/>
      <c r="C545" s="21"/>
      <c r="D545" s="22" t="s">
        <v>79</v>
      </c>
      <c r="E545" s="36">
        <f>2736/41.67</f>
        <v>65.65874730021598</v>
      </c>
      <c r="F545" s="26" t="s">
        <v>16</v>
      </c>
      <c r="G545" s="25"/>
      <c r="H545" s="37">
        <v>41.67</v>
      </c>
    </row>
    <row r="546" spans="2:8" ht="12.75">
      <c r="B546" s="20"/>
      <c r="C546" s="21"/>
      <c r="D546" s="22" t="s">
        <v>42</v>
      </c>
      <c r="E546" s="36">
        <f>2736/42.41</f>
        <v>64.5130865361943</v>
      </c>
      <c r="F546" s="26" t="s">
        <v>18</v>
      </c>
      <c r="G546" s="25"/>
      <c r="H546" s="37">
        <v>42.41</v>
      </c>
    </row>
    <row r="547" spans="2:8" ht="12.75">
      <c r="B547" s="20"/>
      <c r="C547" s="21"/>
      <c r="D547" s="22" t="s">
        <v>23</v>
      </c>
      <c r="E547" s="36">
        <f>2736/48.15</f>
        <v>56.822429906542055</v>
      </c>
      <c r="F547" s="26" t="s">
        <v>20</v>
      </c>
      <c r="G547" s="25"/>
      <c r="H547" s="37">
        <v>48.15</v>
      </c>
    </row>
    <row r="548" spans="2:8" ht="12.75">
      <c r="B548" s="20"/>
      <c r="C548" s="21"/>
      <c r="D548" s="22" t="s">
        <v>43</v>
      </c>
      <c r="E548" s="36">
        <f>2736/50.79</f>
        <v>53.86887182516244</v>
      </c>
      <c r="F548" s="26" t="s">
        <v>22</v>
      </c>
      <c r="G548" s="25"/>
      <c r="H548" s="37">
        <v>50.79</v>
      </c>
    </row>
    <row r="549" spans="2:8" ht="12.75">
      <c r="B549" s="20"/>
      <c r="C549" s="21"/>
      <c r="D549" s="22" t="s">
        <v>47</v>
      </c>
      <c r="E549" s="36">
        <f>2736/57.63</f>
        <v>47.47527329515877</v>
      </c>
      <c r="F549" s="26" t="s">
        <v>50</v>
      </c>
      <c r="G549" s="25"/>
      <c r="H549" s="37">
        <v>57.63</v>
      </c>
    </row>
    <row r="550" spans="2:8" ht="12.75">
      <c r="B550" s="20"/>
      <c r="C550" s="21"/>
      <c r="D550" s="22" t="s">
        <v>199</v>
      </c>
      <c r="E550" s="36">
        <f>2736/58.51</f>
        <v>46.76123739531704</v>
      </c>
      <c r="F550" s="26" t="s">
        <v>51</v>
      </c>
      <c r="G550" s="25"/>
      <c r="H550" s="37">
        <v>58.51</v>
      </c>
    </row>
    <row r="551" spans="2:8" ht="12.75">
      <c r="B551" s="20"/>
      <c r="C551" s="21"/>
      <c r="D551" s="22" t="s">
        <v>46</v>
      </c>
      <c r="E551" s="36">
        <f>2736/62.92</f>
        <v>43.48378893833439</v>
      </c>
      <c r="F551" s="26" t="s">
        <v>67</v>
      </c>
      <c r="G551" s="25"/>
      <c r="H551" s="37">
        <v>62.92</v>
      </c>
    </row>
    <row r="552" spans="2:8" ht="12.75">
      <c r="B552" s="20"/>
      <c r="C552" s="21"/>
      <c r="D552" s="22" t="s">
        <v>80</v>
      </c>
      <c r="E552" s="36">
        <f>2736/88.18</f>
        <v>31.027443864821954</v>
      </c>
      <c r="F552" s="26" t="s">
        <v>75</v>
      </c>
      <c r="G552" s="25"/>
      <c r="H552" s="37">
        <v>88.18</v>
      </c>
    </row>
    <row r="553" spans="2:8" ht="12.75">
      <c r="B553" s="20"/>
      <c r="C553" s="21"/>
      <c r="D553" s="22" t="s">
        <v>70</v>
      </c>
      <c r="E553" s="36">
        <f>2736/98.76</f>
        <v>27.70352369380316</v>
      </c>
      <c r="F553" s="26" t="s">
        <v>77</v>
      </c>
      <c r="G553" s="25"/>
      <c r="H553" s="37">
        <v>98.76</v>
      </c>
    </row>
    <row r="554" spans="2:8" ht="12.75">
      <c r="B554" s="20"/>
      <c r="C554" s="21"/>
      <c r="D554" s="22" t="s">
        <v>74</v>
      </c>
      <c r="E554" s="36">
        <f>2736/109.32</f>
        <v>25.027442371020857</v>
      </c>
      <c r="F554" s="26" t="s">
        <v>155</v>
      </c>
      <c r="G554" s="25"/>
      <c r="H554" s="37">
        <v>109.32</v>
      </c>
    </row>
    <row r="555" spans="2:8" ht="12.75">
      <c r="B555" s="20"/>
      <c r="C555" s="21"/>
      <c r="D555" s="22" t="s">
        <v>61</v>
      </c>
      <c r="E555" s="36">
        <f>2736/110.76</f>
        <v>24.702058504875406</v>
      </c>
      <c r="F555" s="26" t="s">
        <v>157</v>
      </c>
      <c r="G555" s="25"/>
      <c r="H555" s="37">
        <v>110.76</v>
      </c>
    </row>
    <row r="556" spans="2:8" ht="12.75">
      <c r="B556" s="27"/>
      <c r="C556" s="28"/>
      <c r="D556" s="29" t="s">
        <v>21</v>
      </c>
      <c r="E556" s="38">
        <f>2736/247.71</f>
        <v>11.045173791934117</v>
      </c>
      <c r="F556" s="26" t="s">
        <v>159</v>
      </c>
      <c r="G556" s="32"/>
      <c r="H556" s="39">
        <v>247.71</v>
      </c>
    </row>
    <row r="557" spans="2:8" ht="12.75">
      <c r="B557" s="14" t="s">
        <v>81</v>
      </c>
      <c r="C557" s="15">
        <v>43701</v>
      </c>
      <c r="D557" s="16" t="s">
        <v>44</v>
      </c>
      <c r="E557" s="34">
        <v>100</v>
      </c>
      <c r="F557" s="18" t="s">
        <v>9</v>
      </c>
      <c r="G557" s="19">
        <v>6</v>
      </c>
      <c r="H557" s="37">
        <v>61.62</v>
      </c>
    </row>
    <row r="558" spans="2:8" ht="12.75">
      <c r="B558" s="20" t="s">
        <v>84</v>
      </c>
      <c r="C558" s="21"/>
      <c r="D558" s="22" t="s">
        <v>41</v>
      </c>
      <c r="E558" s="36">
        <f>6162/78.95</f>
        <v>78.04939835338821</v>
      </c>
      <c r="F558" s="24" t="s">
        <v>12</v>
      </c>
      <c r="G558" s="25"/>
      <c r="H558" s="37">
        <v>78.95</v>
      </c>
    </row>
    <row r="559" spans="2:8" ht="12.75">
      <c r="B559" s="20"/>
      <c r="C559" s="21"/>
      <c r="D559" s="22" t="s">
        <v>74</v>
      </c>
      <c r="E559" s="36">
        <f>6162/91.28</f>
        <v>67.50657318141981</v>
      </c>
      <c r="F559" s="24" t="s">
        <v>14</v>
      </c>
      <c r="G559" s="25"/>
      <c r="H559" s="37">
        <v>91.28</v>
      </c>
    </row>
    <row r="560" spans="2:8" ht="12.75">
      <c r="B560" s="20"/>
      <c r="C560" s="21"/>
      <c r="D560" s="22" t="s">
        <v>47</v>
      </c>
      <c r="E560" s="36">
        <f>6162/105.6</f>
        <v>58.352272727272734</v>
      </c>
      <c r="F560" s="26" t="s">
        <v>16</v>
      </c>
      <c r="G560" s="25"/>
      <c r="H560" s="37">
        <v>105.6</v>
      </c>
    </row>
    <row r="561" spans="2:8" ht="12.75">
      <c r="B561" s="20"/>
      <c r="C561" s="21"/>
      <c r="D561" s="22" t="s">
        <v>175</v>
      </c>
      <c r="E561" s="36">
        <f>6162/117.92</f>
        <v>52.25576662143826</v>
      </c>
      <c r="F561" s="26" t="s">
        <v>18</v>
      </c>
      <c r="G561" s="25"/>
      <c r="H561" s="37">
        <v>117.92</v>
      </c>
    </row>
    <row r="562" spans="2:8" ht="12.75">
      <c r="B562" s="27"/>
      <c r="C562" s="28"/>
      <c r="D562" s="29" t="s">
        <v>46</v>
      </c>
      <c r="E562" s="38">
        <f>6162/194.88</f>
        <v>31.61945812807882</v>
      </c>
      <c r="F562" s="31" t="s">
        <v>20</v>
      </c>
      <c r="G562" s="32"/>
      <c r="H562" s="39">
        <v>194.88</v>
      </c>
    </row>
    <row r="563" spans="2:7" ht="12.75">
      <c r="B563" s="10" t="s">
        <v>1</v>
      </c>
      <c r="C563" s="11" t="s">
        <v>2</v>
      </c>
      <c r="D563" s="12" t="s">
        <v>3</v>
      </c>
      <c r="E563" s="12" t="s">
        <v>4</v>
      </c>
      <c r="F563" s="12" t="s">
        <v>5</v>
      </c>
      <c r="G563" s="13" t="s">
        <v>6</v>
      </c>
    </row>
    <row r="564" spans="2:7" ht="12.75">
      <c r="B564" s="14" t="s">
        <v>63</v>
      </c>
      <c r="C564" s="15">
        <v>43708</v>
      </c>
      <c r="D564" s="16" t="s">
        <v>57</v>
      </c>
      <c r="E564" s="17">
        <v>195</v>
      </c>
      <c r="F564" s="18" t="s">
        <v>9</v>
      </c>
      <c r="G564" s="19">
        <v>8</v>
      </c>
    </row>
    <row r="565" spans="2:7" ht="12.75">
      <c r="B565" s="20" t="s">
        <v>88</v>
      </c>
      <c r="C565" s="21"/>
      <c r="D565" s="40" t="s">
        <v>65</v>
      </c>
      <c r="E565" s="41">
        <v>192</v>
      </c>
      <c r="F565" s="24" t="s">
        <v>12</v>
      </c>
      <c r="G565" s="25"/>
    </row>
    <row r="566" spans="2:7" ht="12.75">
      <c r="B566" s="20"/>
      <c r="C566" s="21"/>
      <c r="D566" s="40" t="s">
        <v>64</v>
      </c>
      <c r="E566" s="41">
        <v>191</v>
      </c>
      <c r="F566" s="24" t="s">
        <v>14</v>
      </c>
      <c r="G566" s="25"/>
    </row>
    <row r="567" spans="2:7" ht="12.75">
      <c r="B567" s="20"/>
      <c r="C567" s="21"/>
      <c r="D567" s="22" t="s">
        <v>200</v>
      </c>
      <c r="E567" s="42">
        <v>191</v>
      </c>
      <c r="F567" s="33" t="s">
        <v>16</v>
      </c>
      <c r="G567" s="25"/>
    </row>
    <row r="568" spans="2:7" ht="12.75">
      <c r="B568" s="20"/>
      <c r="C568" s="21"/>
      <c r="D568" s="22" t="s">
        <v>41</v>
      </c>
      <c r="E568" s="42">
        <v>190</v>
      </c>
      <c r="F568" s="33" t="s">
        <v>18</v>
      </c>
      <c r="G568" s="25"/>
    </row>
    <row r="569" spans="2:7" ht="12.75">
      <c r="B569" s="20"/>
      <c r="C569" s="21"/>
      <c r="D569" s="22" t="s">
        <v>11</v>
      </c>
      <c r="E569" s="42">
        <v>186</v>
      </c>
      <c r="F569" s="33" t="s">
        <v>20</v>
      </c>
      <c r="G569" s="25"/>
    </row>
    <row r="570" spans="2:7" ht="12.75">
      <c r="B570" s="20"/>
      <c r="C570" s="21"/>
      <c r="D570" s="22" t="s">
        <v>175</v>
      </c>
      <c r="E570" s="42">
        <v>181</v>
      </c>
      <c r="F570" s="33" t="s">
        <v>22</v>
      </c>
      <c r="G570" s="25"/>
    </row>
    <row r="571" spans="2:7" ht="12.75">
      <c r="B571" s="20"/>
      <c r="C571" s="21"/>
      <c r="D571" s="22" t="s">
        <v>86</v>
      </c>
      <c r="E571" s="42">
        <v>178</v>
      </c>
      <c r="F571" s="33" t="s">
        <v>50</v>
      </c>
      <c r="G571" s="25"/>
    </row>
    <row r="572" spans="2:7" ht="12.75">
      <c r="B572" s="14" t="s">
        <v>63</v>
      </c>
      <c r="C572" s="15">
        <v>43708</v>
      </c>
      <c r="D572" s="16" t="s">
        <v>68</v>
      </c>
      <c r="E572" s="17">
        <v>191</v>
      </c>
      <c r="F572" s="18" t="s">
        <v>9</v>
      </c>
      <c r="G572" s="19">
        <v>6</v>
      </c>
    </row>
    <row r="573" spans="2:7" ht="12.75">
      <c r="B573" s="20" t="s">
        <v>59</v>
      </c>
      <c r="C573" s="21"/>
      <c r="D573" s="40" t="s">
        <v>70</v>
      </c>
      <c r="E573" s="41">
        <v>190</v>
      </c>
      <c r="F573" s="24" t="s">
        <v>12</v>
      </c>
      <c r="G573" s="25"/>
    </row>
    <row r="574" spans="2:7" ht="12.75">
      <c r="B574" s="20"/>
      <c r="C574" s="21"/>
      <c r="D574" s="80" t="s">
        <v>80</v>
      </c>
      <c r="E574" s="42">
        <v>189</v>
      </c>
      <c r="F574" s="24" t="s">
        <v>14</v>
      </c>
      <c r="G574" s="25"/>
    </row>
    <row r="575" spans="2:7" ht="12.75">
      <c r="B575" s="20"/>
      <c r="C575" s="21"/>
      <c r="D575" s="80" t="s">
        <v>44</v>
      </c>
      <c r="E575" s="42">
        <v>182</v>
      </c>
      <c r="F575" s="33" t="s">
        <v>16</v>
      </c>
      <c r="G575" s="25"/>
    </row>
    <row r="576" spans="2:7" ht="12.75">
      <c r="B576" s="20"/>
      <c r="C576" s="21"/>
      <c r="D576" s="80" t="s">
        <v>83</v>
      </c>
      <c r="E576" s="42">
        <v>181</v>
      </c>
      <c r="F576" s="26" t="s">
        <v>18</v>
      </c>
      <c r="G576" s="25"/>
    </row>
    <row r="577" spans="2:7" ht="12.75">
      <c r="B577" s="27"/>
      <c r="C577" s="28"/>
      <c r="D577" s="29" t="s">
        <v>46</v>
      </c>
      <c r="E577" s="44">
        <v>167</v>
      </c>
      <c r="F577" s="31" t="s">
        <v>20</v>
      </c>
      <c r="G577" s="32"/>
    </row>
    <row r="578" spans="2:7" ht="12.75">
      <c r="B578" s="14" t="s">
        <v>63</v>
      </c>
      <c r="C578" s="15">
        <v>43708</v>
      </c>
      <c r="D578" s="16" t="s">
        <v>184</v>
      </c>
      <c r="E578" s="17">
        <v>194</v>
      </c>
      <c r="F578" s="18" t="s">
        <v>9</v>
      </c>
      <c r="G578" s="19">
        <v>1</v>
      </c>
    </row>
    <row r="579" spans="2:7" ht="12.75">
      <c r="B579" s="27" t="s">
        <v>62</v>
      </c>
      <c r="C579" s="28"/>
      <c r="D579" s="29"/>
      <c r="E579" s="44"/>
      <c r="F579" s="31"/>
      <c r="G579" s="32"/>
    </row>
    <row r="580" spans="2:7" ht="12.75">
      <c r="B580" s="10" t="s">
        <v>1</v>
      </c>
      <c r="C580" s="11" t="s">
        <v>2</v>
      </c>
      <c r="D580" s="12" t="s">
        <v>3</v>
      </c>
      <c r="E580" s="12" t="s">
        <v>4</v>
      </c>
      <c r="F580" s="12" t="s">
        <v>5</v>
      </c>
      <c r="G580" s="13" t="s">
        <v>6</v>
      </c>
    </row>
    <row r="581" spans="2:7" ht="12.75">
      <c r="B581" s="14" t="s">
        <v>55</v>
      </c>
      <c r="C581" s="15">
        <v>43722</v>
      </c>
      <c r="D581" s="16" t="s">
        <v>41</v>
      </c>
      <c r="E581" s="17">
        <v>95</v>
      </c>
      <c r="F581" s="18" t="s">
        <v>9</v>
      </c>
      <c r="G581" s="19">
        <v>6</v>
      </c>
    </row>
    <row r="582" spans="2:7" ht="12.75">
      <c r="B582" s="20" t="s">
        <v>56</v>
      </c>
      <c r="C582" s="21"/>
      <c r="D582" s="22" t="s">
        <v>175</v>
      </c>
      <c r="E582" s="23">
        <v>88</v>
      </c>
      <c r="F582" s="24" t="s">
        <v>12</v>
      </c>
      <c r="G582" s="25"/>
    </row>
    <row r="583" spans="2:7" ht="12.75">
      <c r="B583" s="20"/>
      <c r="C583" s="21"/>
      <c r="D583" s="22" t="s">
        <v>46</v>
      </c>
      <c r="E583" s="23">
        <v>79</v>
      </c>
      <c r="F583" s="24" t="s">
        <v>14</v>
      </c>
      <c r="G583" s="25"/>
    </row>
    <row r="584" spans="2:7" ht="12.75">
      <c r="B584" s="20"/>
      <c r="C584" s="21"/>
      <c r="D584" s="22" t="s">
        <v>57</v>
      </c>
      <c r="E584" s="23">
        <v>68</v>
      </c>
      <c r="F584" s="33" t="s">
        <v>16</v>
      </c>
      <c r="G584" s="25"/>
    </row>
    <row r="585" spans="2:7" ht="12.75">
      <c r="B585" s="20"/>
      <c r="C585" s="21"/>
      <c r="D585" s="22" t="s">
        <v>42</v>
      </c>
      <c r="E585" s="23">
        <v>61</v>
      </c>
      <c r="F585" s="33" t="s">
        <v>18</v>
      </c>
      <c r="G585" s="25"/>
    </row>
    <row r="586" spans="2:7" ht="12.75">
      <c r="B586" s="20"/>
      <c r="C586" s="21"/>
      <c r="D586" s="22" t="s">
        <v>134</v>
      </c>
      <c r="E586" s="23">
        <v>43</v>
      </c>
      <c r="F586" s="33" t="s">
        <v>20</v>
      </c>
      <c r="G586" s="25"/>
    </row>
    <row r="587" spans="2:7" ht="12.75">
      <c r="B587" s="14" t="s">
        <v>55</v>
      </c>
      <c r="C587" s="15">
        <v>43722</v>
      </c>
      <c r="D587" s="16" t="s">
        <v>19</v>
      </c>
      <c r="E587" s="17">
        <v>56</v>
      </c>
      <c r="F587" s="18" t="s">
        <v>9</v>
      </c>
      <c r="G587" s="19">
        <v>3</v>
      </c>
    </row>
    <row r="588" spans="2:7" ht="12.75">
      <c r="B588" s="20" t="s">
        <v>59</v>
      </c>
      <c r="C588" s="21"/>
      <c r="D588" s="22" t="s">
        <v>58</v>
      </c>
      <c r="E588" s="23">
        <v>33</v>
      </c>
      <c r="F588" s="33" t="s">
        <v>12</v>
      </c>
      <c r="G588" s="25"/>
    </row>
    <row r="589" spans="2:7" ht="12.75">
      <c r="B589" s="20"/>
      <c r="C589" s="21"/>
      <c r="D589" s="22" t="s">
        <v>201</v>
      </c>
      <c r="E589" s="23">
        <v>29</v>
      </c>
      <c r="F589" s="33" t="s">
        <v>14</v>
      </c>
      <c r="G589" s="25"/>
    </row>
    <row r="590" spans="2:7" ht="12.75">
      <c r="B590" s="14" t="s">
        <v>55</v>
      </c>
      <c r="C590" s="15">
        <v>43722</v>
      </c>
      <c r="D590" s="16" t="s">
        <v>52</v>
      </c>
      <c r="E590" s="17">
        <v>41</v>
      </c>
      <c r="F590" s="18" t="s">
        <v>9</v>
      </c>
      <c r="G590" s="19">
        <v>1</v>
      </c>
    </row>
    <row r="591" spans="2:7" ht="12.75">
      <c r="B591" s="27" t="s">
        <v>62</v>
      </c>
      <c r="C591" s="28"/>
      <c r="D591" s="43"/>
      <c r="E591" s="44"/>
      <c r="F591" s="31"/>
      <c r="G591" s="32"/>
    </row>
    <row r="592" spans="2:7" ht="12.75">
      <c r="B592" s="10" t="s">
        <v>1</v>
      </c>
      <c r="C592" s="11" t="s">
        <v>2</v>
      </c>
      <c r="D592" s="12" t="s">
        <v>3</v>
      </c>
      <c r="E592" s="12" t="s">
        <v>4</v>
      </c>
      <c r="F592" s="12" t="s">
        <v>5</v>
      </c>
      <c r="G592" s="13" t="s">
        <v>6</v>
      </c>
    </row>
    <row r="593" spans="2:7" ht="12.75">
      <c r="B593" s="14" t="s">
        <v>60</v>
      </c>
      <c r="C593" s="15">
        <v>43722</v>
      </c>
      <c r="D593" s="16" t="s">
        <v>41</v>
      </c>
      <c r="E593" s="17">
        <v>99</v>
      </c>
      <c r="F593" s="18" t="s">
        <v>9</v>
      </c>
      <c r="G593" s="19">
        <v>9</v>
      </c>
    </row>
    <row r="594" spans="2:7" ht="12.75">
      <c r="B594" s="20" t="s">
        <v>56</v>
      </c>
      <c r="C594" s="21"/>
      <c r="D594" s="40" t="s">
        <v>175</v>
      </c>
      <c r="E594" s="41">
        <v>96</v>
      </c>
      <c r="F594" s="24" t="s">
        <v>12</v>
      </c>
      <c r="G594" s="25"/>
    </row>
    <row r="595" spans="2:7" ht="12.75">
      <c r="B595" s="20"/>
      <c r="C595" s="21"/>
      <c r="D595" s="22" t="s">
        <v>43</v>
      </c>
      <c r="E595" s="42">
        <v>89</v>
      </c>
      <c r="F595" s="24" t="s">
        <v>14</v>
      </c>
      <c r="G595" s="25"/>
    </row>
    <row r="596" spans="2:7" ht="12.75">
      <c r="B596" s="20"/>
      <c r="C596" s="21"/>
      <c r="D596" s="22" t="s">
        <v>201</v>
      </c>
      <c r="E596" s="42">
        <v>83</v>
      </c>
      <c r="F596" s="33" t="s">
        <v>16</v>
      </c>
      <c r="G596" s="25"/>
    </row>
    <row r="597" spans="2:7" ht="12.75">
      <c r="B597" s="20"/>
      <c r="C597" s="21"/>
      <c r="D597" s="22" t="s">
        <v>57</v>
      </c>
      <c r="E597" s="42">
        <v>79</v>
      </c>
      <c r="F597" s="33" t="s">
        <v>18</v>
      </c>
      <c r="G597" s="25"/>
    </row>
    <row r="598" spans="2:7" ht="12.75">
      <c r="B598" s="20"/>
      <c r="C598" s="21"/>
      <c r="D598" s="22" t="s">
        <v>134</v>
      </c>
      <c r="E598" s="42">
        <v>79</v>
      </c>
      <c r="F598" s="33" t="s">
        <v>20</v>
      </c>
      <c r="G598" s="25"/>
    </row>
    <row r="599" spans="2:7" ht="12.75">
      <c r="B599" s="20"/>
      <c r="C599" s="21"/>
      <c r="D599" s="22" t="s">
        <v>196</v>
      </c>
      <c r="E599" s="42">
        <v>77</v>
      </c>
      <c r="F599" s="33" t="s">
        <v>22</v>
      </c>
      <c r="G599" s="25"/>
    </row>
    <row r="600" spans="2:7" ht="12.75">
      <c r="B600" s="20"/>
      <c r="C600" s="21"/>
      <c r="D600" s="22" t="s">
        <v>42</v>
      </c>
      <c r="E600" s="42">
        <v>68</v>
      </c>
      <c r="F600" s="33" t="s">
        <v>50</v>
      </c>
      <c r="G600" s="25"/>
    </row>
    <row r="601" spans="2:7" ht="12.75">
      <c r="B601" s="20"/>
      <c r="C601" s="21"/>
      <c r="D601" s="22" t="s">
        <v>46</v>
      </c>
      <c r="E601" s="42">
        <v>59</v>
      </c>
      <c r="F601" s="33" t="s">
        <v>51</v>
      </c>
      <c r="G601" s="25"/>
    </row>
    <row r="602" spans="2:7" ht="12.75">
      <c r="B602" s="14" t="s">
        <v>60</v>
      </c>
      <c r="C602" s="15">
        <v>43722</v>
      </c>
      <c r="D602" s="16" t="s">
        <v>61</v>
      </c>
      <c r="E602" s="17">
        <v>55</v>
      </c>
      <c r="F602" s="47" t="s">
        <v>9</v>
      </c>
      <c r="G602" s="19">
        <v>2</v>
      </c>
    </row>
    <row r="603" spans="2:7" ht="12.75">
      <c r="B603" s="20" t="s">
        <v>59</v>
      </c>
      <c r="C603" s="21"/>
      <c r="D603" s="40" t="s">
        <v>58</v>
      </c>
      <c r="E603" s="41">
        <v>55</v>
      </c>
      <c r="F603" s="33" t="s">
        <v>12</v>
      </c>
      <c r="G603" s="25"/>
    </row>
    <row r="604" spans="2:7" ht="12.75">
      <c r="B604" s="14" t="s">
        <v>60</v>
      </c>
      <c r="C604" s="15">
        <v>43722</v>
      </c>
      <c r="D604" s="16" t="s">
        <v>79</v>
      </c>
      <c r="E604" s="17">
        <v>91</v>
      </c>
      <c r="F604" s="18" t="s">
        <v>9</v>
      </c>
      <c r="G604" s="19">
        <v>2</v>
      </c>
    </row>
    <row r="605" spans="2:7" ht="12.75">
      <c r="B605" s="27" t="s">
        <v>62</v>
      </c>
      <c r="C605" s="28"/>
      <c r="D605" s="43" t="s">
        <v>52</v>
      </c>
      <c r="E605" s="44">
        <v>49</v>
      </c>
      <c r="F605" s="31"/>
      <c r="G605" s="32"/>
    </row>
    <row r="606" spans="2:7" ht="12.75">
      <c r="B606" s="10" t="s">
        <v>1</v>
      </c>
      <c r="C606" s="11" t="s">
        <v>2</v>
      </c>
      <c r="D606" s="12" t="s">
        <v>3</v>
      </c>
      <c r="E606" s="12" t="s">
        <v>4</v>
      </c>
      <c r="F606" s="12" t="s">
        <v>5</v>
      </c>
      <c r="G606" s="13" t="s">
        <v>6</v>
      </c>
    </row>
    <row r="607" spans="2:7" ht="12.75">
      <c r="B607" s="14" t="s">
        <v>7</v>
      </c>
      <c r="C607" s="15">
        <v>43723</v>
      </c>
      <c r="D607" s="16" t="s">
        <v>8</v>
      </c>
      <c r="E607" s="17">
        <v>47</v>
      </c>
      <c r="F607" s="18" t="s">
        <v>9</v>
      </c>
      <c r="G607" s="19">
        <v>6</v>
      </c>
    </row>
    <row r="608" spans="2:7" ht="12.75">
      <c r="B608" s="20" t="s">
        <v>10</v>
      </c>
      <c r="C608" s="21"/>
      <c r="D608" s="22" t="s">
        <v>11</v>
      </c>
      <c r="E608" s="23">
        <v>35</v>
      </c>
      <c r="F608" s="24" t="s">
        <v>12</v>
      </c>
      <c r="G608" s="25"/>
    </row>
    <row r="609" spans="2:7" ht="12.75">
      <c r="B609" s="20"/>
      <c r="C609" s="21"/>
      <c r="D609" s="22" t="s">
        <v>41</v>
      </c>
      <c r="E609" s="23">
        <v>27</v>
      </c>
      <c r="F609" s="24" t="s">
        <v>14</v>
      </c>
      <c r="G609" s="25"/>
    </row>
    <row r="610" spans="2:7" ht="12.75">
      <c r="B610" s="20"/>
      <c r="C610" s="21"/>
      <c r="D610" s="22" t="s">
        <v>95</v>
      </c>
      <c r="E610" s="23">
        <v>20</v>
      </c>
      <c r="F610" s="26" t="s">
        <v>16</v>
      </c>
      <c r="G610" s="25"/>
    </row>
    <row r="611" spans="2:7" ht="12.75">
      <c r="B611" s="20"/>
      <c r="C611" s="21"/>
      <c r="D611" s="22" t="s">
        <v>19</v>
      </c>
      <c r="E611" s="23">
        <v>12</v>
      </c>
      <c r="F611" s="26" t="s">
        <v>18</v>
      </c>
      <c r="G611" s="25"/>
    </row>
    <row r="612" spans="2:7" ht="12.75">
      <c r="B612" s="27"/>
      <c r="C612" s="28"/>
      <c r="D612" s="29" t="s">
        <v>17</v>
      </c>
      <c r="E612" s="30">
        <v>11</v>
      </c>
      <c r="F612" s="31" t="s">
        <v>20</v>
      </c>
      <c r="G612" s="32"/>
    </row>
    <row r="613" spans="2:7" ht="12.75">
      <c r="B613" s="14" t="s">
        <v>7</v>
      </c>
      <c r="C613" s="15">
        <v>43723</v>
      </c>
      <c r="D613" s="16" t="s">
        <v>11</v>
      </c>
      <c r="E613" s="17">
        <v>42</v>
      </c>
      <c r="F613" s="18" t="s">
        <v>9</v>
      </c>
      <c r="G613" s="19">
        <v>7</v>
      </c>
    </row>
    <row r="614" spans="2:7" ht="12.75">
      <c r="B614" s="20" t="s">
        <v>24</v>
      </c>
      <c r="C614" s="21"/>
      <c r="D614" s="22" t="s">
        <v>8</v>
      </c>
      <c r="E614" s="23">
        <v>40</v>
      </c>
      <c r="F614" s="24" t="s">
        <v>12</v>
      </c>
      <c r="G614" s="25"/>
    </row>
    <row r="615" spans="2:7" ht="12.75">
      <c r="B615" s="20"/>
      <c r="C615" s="21"/>
      <c r="D615" s="22" t="s">
        <v>196</v>
      </c>
      <c r="E615" s="23">
        <v>34</v>
      </c>
      <c r="F615" s="24" t="s">
        <v>14</v>
      </c>
      <c r="G615" s="25"/>
    </row>
    <row r="616" spans="2:7" ht="12.75">
      <c r="B616" s="20"/>
      <c r="C616" s="21"/>
      <c r="D616" s="22" t="s">
        <v>26</v>
      </c>
      <c r="E616" s="23">
        <v>28</v>
      </c>
      <c r="F616" s="26" t="s">
        <v>16</v>
      </c>
      <c r="G616" s="25"/>
    </row>
    <row r="617" spans="2:7" ht="12.75">
      <c r="B617" s="20"/>
      <c r="C617" s="21"/>
      <c r="D617" s="22" t="s">
        <v>41</v>
      </c>
      <c r="E617" s="23">
        <v>24</v>
      </c>
      <c r="F617" s="26" t="s">
        <v>18</v>
      </c>
      <c r="G617" s="25"/>
    </row>
    <row r="618" spans="2:7" ht="12.75">
      <c r="B618" s="20"/>
      <c r="C618" s="21"/>
      <c r="D618" s="82" t="s">
        <v>175</v>
      </c>
      <c r="E618" s="85">
        <v>21</v>
      </c>
      <c r="F618" s="33" t="s">
        <v>20</v>
      </c>
      <c r="G618" s="25"/>
    </row>
    <row r="619" spans="2:7" ht="12.75">
      <c r="B619" s="27"/>
      <c r="C619" s="28"/>
      <c r="D619" s="86" t="s">
        <v>46</v>
      </c>
      <c r="E619" s="87">
        <v>5</v>
      </c>
      <c r="F619" s="88" t="s">
        <v>22</v>
      </c>
      <c r="G619" s="32"/>
    </row>
    <row r="620" spans="2:7" ht="12.75">
      <c r="B620" s="10" t="s">
        <v>1</v>
      </c>
      <c r="C620" s="11" t="s">
        <v>2</v>
      </c>
      <c r="D620" s="12" t="s">
        <v>3</v>
      </c>
      <c r="E620" s="12" t="s">
        <v>4</v>
      </c>
      <c r="F620" s="12" t="s">
        <v>5</v>
      </c>
      <c r="G620" s="13" t="s">
        <v>6</v>
      </c>
    </row>
    <row r="621" spans="2:7" ht="12.75">
      <c r="B621" s="14" t="s">
        <v>27</v>
      </c>
      <c r="C621" s="15">
        <v>43723</v>
      </c>
      <c r="D621" s="16" t="s">
        <v>28</v>
      </c>
      <c r="E621" s="17">
        <v>333</v>
      </c>
      <c r="F621" s="18" t="s">
        <v>9</v>
      </c>
      <c r="G621" s="19">
        <v>3</v>
      </c>
    </row>
    <row r="622" spans="2:7" ht="12.75">
      <c r="B622" s="20" t="s">
        <v>29</v>
      </c>
      <c r="C622" s="21"/>
      <c r="D622" s="40" t="s">
        <v>32</v>
      </c>
      <c r="E622" s="41">
        <v>288</v>
      </c>
      <c r="F622" s="33" t="s">
        <v>12</v>
      </c>
      <c r="G622" s="25"/>
    </row>
    <row r="623" spans="2:7" ht="12.75">
      <c r="B623" s="20"/>
      <c r="C623" s="21"/>
      <c r="D623" s="22" t="s">
        <v>202</v>
      </c>
      <c r="E623" s="42">
        <v>227</v>
      </c>
      <c r="F623" s="33" t="s">
        <v>14</v>
      </c>
      <c r="G623" s="25"/>
    </row>
    <row r="624" spans="2:7" ht="12.75">
      <c r="B624" s="14" t="s">
        <v>27</v>
      </c>
      <c r="C624" s="15">
        <v>43723</v>
      </c>
      <c r="D624" s="16" t="s">
        <v>28</v>
      </c>
      <c r="E624" s="17">
        <v>302</v>
      </c>
      <c r="F624" s="18" t="s">
        <v>9</v>
      </c>
      <c r="G624" s="19">
        <v>5</v>
      </c>
    </row>
    <row r="625" spans="2:7" ht="12.75">
      <c r="B625" s="20" t="s">
        <v>35</v>
      </c>
      <c r="C625" s="21"/>
      <c r="D625" s="40" t="s">
        <v>203</v>
      </c>
      <c r="E625" s="41">
        <v>222</v>
      </c>
      <c r="F625" s="24" t="s">
        <v>12</v>
      </c>
      <c r="G625" s="25"/>
    </row>
    <row r="626" spans="2:7" ht="12.75">
      <c r="B626" s="20"/>
      <c r="C626" s="21"/>
      <c r="D626" s="22" t="s">
        <v>204</v>
      </c>
      <c r="E626" s="42">
        <v>200</v>
      </c>
      <c r="F626" s="33" t="s">
        <v>14</v>
      </c>
      <c r="G626" s="25"/>
    </row>
    <row r="627" spans="2:7" ht="12.75">
      <c r="B627" s="20"/>
      <c r="C627" s="21"/>
      <c r="D627" s="22" t="s">
        <v>202</v>
      </c>
      <c r="E627" s="42">
        <v>173</v>
      </c>
      <c r="F627" s="33" t="s">
        <v>16</v>
      </c>
      <c r="G627" s="25"/>
    </row>
    <row r="628" spans="2:7" ht="12.75">
      <c r="B628" s="27"/>
      <c r="C628" s="28"/>
      <c r="D628" s="29" t="s">
        <v>137</v>
      </c>
      <c r="E628" s="44">
        <v>172</v>
      </c>
      <c r="F628" s="31" t="s">
        <v>18</v>
      </c>
      <c r="G628" s="32"/>
    </row>
    <row r="629" spans="2:7" ht="12.75">
      <c r="B629" s="10" t="s">
        <v>1</v>
      </c>
      <c r="C629" s="11" t="s">
        <v>2</v>
      </c>
      <c r="D629" s="12" t="s">
        <v>3</v>
      </c>
      <c r="E629" s="12" t="s">
        <v>4</v>
      </c>
      <c r="F629" s="12" t="s">
        <v>5</v>
      </c>
      <c r="G629" s="13" t="s">
        <v>6</v>
      </c>
    </row>
    <row r="630" spans="2:8" ht="12.75">
      <c r="B630" s="14" t="s">
        <v>37</v>
      </c>
      <c r="C630" s="15">
        <v>43730</v>
      </c>
      <c r="D630" s="16" t="s">
        <v>205</v>
      </c>
      <c r="E630" s="34">
        <v>100</v>
      </c>
      <c r="F630" s="18" t="s">
        <v>9</v>
      </c>
      <c r="G630" s="19">
        <v>6</v>
      </c>
      <c r="H630" s="49">
        <v>34.89</v>
      </c>
    </row>
    <row r="631" spans="2:8" ht="12.75">
      <c r="B631" s="20" t="s">
        <v>39</v>
      </c>
      <c r="C631" s="21"/>
      <c r="D631" s="22" t="s">
        <v>86</v>
      </c>
      <c r="E631" s="36">
        <f>3489/38.93</f>
        <v>89.62239917801182</v>
      </c>
      <c r="F631" s="24" t="s">
        <v>12</v>
      </c>
      <c r="G631" s="25"/>
      <c r="H631" s="51">
        <v>38.93</v>
      </c>
    </row>
    <row r="632" spans="2:8" ht="12.75">
      <c r="B632" s="20"/>
      <c r="C632" s="21"/>
      <c r="D632" s="22" t="s">
        <v>42</v>
      </c>
      <c r="E632" s="36">
        <f>3489/41.6</f>
        <v>83.8701923076923</v>
      </c>
      <c r="F632" s="24" t="s">
        <v>14</v>
      </c>
      <c r="G632" s="25"/>
      <c r="H632" s="51">
        <v>41.6</v>
      </c>
    </row>
    <row r="633" spans="2:8" ht="12.75">
      <c r="B633" s="20"/>
      <c r="C633" s="21"/>
      <c r="D633" s="22" t="s">
        <v>83</v>
      </c>
      <c r="E633" s="36">
        <f>3489/57.82</f>
        <v>60.34244206157039</v>
      </c>
      <c r="F633" s="26" t="s">
        <v>16</v>
      </c>
      <c r="G633" s="25"/>
      <c r="H633" s="51">
        <v>57.82</v>
      </c>
    </row>
    <row r="634" spans="2:8" ht="12.75">
      <c r="B634" s="20"/>
      <c r="C634" s="21"/>
      <c r="D634" s="22" t="s">
        <v>43</v>
      </c>
      <c r="E634" s="36">
        <f>3489/67.24</f>
        <v>51.88875669244498</v>
      </c>
      <c r="F634" s="26" t="s">
        <v>18</v>
      </c>
      <c r="G634" s="25"/>
      <c r="H634" s="51">
        <v>67.24</v>
      </c>
    </row>
    <row r="635" spans="2:8" ht="12.75">
      <c r="B635" s="20"/>
      <c r="C635" s="21"/>
      <c r="D635" s="22" t="s">
        <v>41</v>
      </c>
      <c r="E635" s="36">
        <f>3489/85.37</f>
        <v>40.869157783764784</v>
      </c>
      <c r="F635" s="26" t="s">
        <v>20</v>
      </c>
      <c r="G635" s="25"/>
      <c r="H635" s="53">
        <v>85.37</v>
      </c>
    </row>
    <row r="636" spans="2:8" ht="12.75">
      <c r="B636" s="14" t="s">
        <v>37</v>
      </c>
      <c r="C636" s="15">
        <v>43730</v>
      </c>
      <c r="D636" s="16" t="s">
        <v>44</v>
      </c>
      <c r="E636" s="34">
        <v>100</v>
      </c>
      <c r="F636" s="18" t="s">
        <v>9</v>
      </c>
      <c r="G636" s="19">
        <v>8</v>
      </c>
      <c r="H636" s="81">
        <v>31.25</v>
      </c>
    </row>
    <row r="637" spans="2:8" ht="12.75">
      <c r="B637" s="20" t="s">
        <v>45</v>
      </c>
      <c r="C637" s="21"/>
      <c r="D637" s="22" t="s">
        <v>19</v>
      </c>
      <c r="E637" s="36">
        <f>3125/44.55</f>
        <v>70.14590347923682</v>
      </c>
      <c r="F637" s="24" t="s">
        <v>12</v>
      </c>
      <c r="G637" s="25"/>
      <c r="H637" s="76">
        <v>44.55</v>
      </c>
    </row>
    <row r="638" spans="2:8" ht="12.75">
      <c r="B638" s="20"/>
      <c r="C638" s="21"/>
      <c r="D638" s="82" t="s">
        <v>46</v>
      </c>
      <c r="E638" s="36">
        <f>3125/66.53</f>
        <v>46.971291146851044</v>
      </c>
      <c r="F638" s="24" t="s">
        <v>14</v>
      </c>
      <c r="G638" s="25"/>
      <c r="H638" s="76">
        <v>66.53</v>
      </c>
    </row>
    <row r="639" spans="2:8" ht="12.75">
      <c r="B639" s="20"/>
      <c r="C639" s="21"/>
      <c r="D639" s="83" t="s">
        <v>47</v>
      </c>
      <c r="E639" s="36">
        <f>3125/67.21</f>
        <v>46.49605713435501</v>
      </c>
      <c r="F639" s="26" t="s">
        <v>16</v>
      </c>
      <c r="G639" s="25"/>
      <c r="H639" s="76">
        <v>67.21</v>
      </c>
    </row>
    <row r="640" spans="2:8" ht="12.75">
      <c r="B640" s="20"/>
      <c r="C640" s="21"/>
      <c r="D640" s="22" t="s">
        <v>61</v>
      </c>
      <c r="E640" s="36">
        <f>3125/75.05</f>
        <v>41.63890739506996</v>
      </c>
      <c r="F640" s="26" t="s">
        <v>18</v>
      </c>
      <c r="G640" s="25"/>
      <c r="H640" s="51">
        <v>75.05</v>
      </c>
    </row>
    <row r="641" spans="2:8" ht="12.75">
      <c r="B641" s="20"/>
      <c r="C641" s="21"/>
      <c r="D641" s="82" t="s">
        <v>70</v>
      </c>
      <c r="E641" s="36">
        <f>3125/92.44</f>
        <v>33.80571181306794</v>
      </c>
      <c r="F641" s="26" t="s">
        <v>20</v>
      </c>
      <c r="G641" s="25"/>
      <c r="H641" s="84">
        <v>92.44</v>
      </c>
    </row>
    <row r="642" spans="2:8" ht="12.75">
      <c r="B642" s="20"/>
      <c r="C642" s="21"/>
      <c r="D642" s="22" t="s">
        <v>74</v>
      </c>
      <c r="E642" s="36">
        <f>3125/99.84</f>
        <v>31.300080128205128</v>
      </c>
      <c r="F642" s="26" t="s">
        <v>22</v>
      </c>
      <c r="G642" s="25"/>
      <c r="H642" s="89">
        <v>99.84</v>
      </c>
    </row>
    <row r="643" spans="2:8" ht="12.75">
      <c r="B643" s="27"/>
      <c r="C643" s="28"/>
      <c r="D643" s="29" t="s">
        <v>195</v>
      </c>
      <c r="E643" s="38">
        <f>3125/133.13</f>
        <v>23.47329677758582</v>
      </c>
      <c r="F643" s="31" t="s">
        <v>50</v>
      </c>
      <c r="G643" s="32"/>
      <c r="H643" s="77">
        <v>133.13</v>
      </c>
    </row>
    <row r="644" spans="2:8" ht="12.75">
      <c r="B644" s="14" t="s">
        <v>37</v>
      </c>
      <c r="C644" s="15">
        <v>43730</v>
      </c>
      <c r="D644" s="16" t="s">
        <v>52</v>
      </c>
      <c r="E644" s="34">
        <v>100</v>
      </c>
      <c r="F644" s="18" t="s">
        <v>9</v>
      </c>
      <c r="G644" s="19">
        <v>1</v>
      </c>
      <c r="H644" s="81">
        <v>97.23</v>
      </c>
    </row>
    <row r="645" spans="2:8" ht="12.75">
      <c r="B645" s="27" t="s">
        <v>189</v>
      </c>
      <c r="C645" s="28"/>
      <c r="D645" s="29"/>
      <c r="E645" s="38"/>
      <c r="F645" s="31"/>
      <c r="G645" s="32"/>
      <c r="H645" s="77"/>
    </row>
    <row r="646" spans="2:7" ht="12.75">
      <c r="B646" s="10" t="s">
        <v>1</v>
      </c>
      <c r="C646" s="11" t="s">
        <v>2</v>
      </c>
      <c r="D646" s="12" t="s">
        <v>3</v>
      </c>
      <c r="E646" s="12" t="s">
        <v>4</v>
      </c>
      <c r="F646" s="12" t="s">
        <v>5</v>
      </c>
      <c r="G646" s="13" t="s">
        <v>6</v>
      </c>
    </row>
    <row r="647" spans="2:7" ht="12.75">
      <c r="B647" s="14" t="s">
        <v>73</v>
      </c>
      <c r="C647" s="15">
        <v>43736</v>
      </c>
      <c r="D647" s="16" t="s">
        <v>41</v>
      </c>
      <c r="E647" s="17">
        <v>184</v>
      </c>
      <c r="F647" s="18" t="s">
        <v>9</v>
      </c>
      <c r="G647" s="19">
        <v>7</v>
      </c>
    </row>
    <row r="648" spans="2:7" ht="12.75">
      <c r="B648" s="20"/>
      <c r="C648" s="21"/>
      <c r="D648" s="40" t="s">
        <v>19</v>
      </c>
      <c r="E648" s="41">
        <v>151</v>
      </c>
      <c r="F648" s="24" t="s">
        <v>12</v>
      </c>
      <c r="G648" s="25"/>
    </row>
    <row r="649" spans="2:7" ht="12.75">
      <c r="B649" s="20"/>
      <c r="C649" s="21"/>
      <c r="D649" s="22" t="s">
        <v>8</v>
      </c>
      <c r="E649" s="42">
        <v>141</v>
      </c>
      <c r="F649" s="24" t="s">
        <v>14</v>
      </c>
      <c r="G649" s="25"/>
    </row>
    <row r="650" spans="2:7" ht="12.75">
      <c r="B650" s="20"/>
      <c r="C650" s="21"/>
      <c r="D650" s="22" t="s">
        <v>40</v>
      </c>
      <c r="E650" s="42">
        <v>119</v>
      </c>
      <c r="F650" s="33" t="s">
        <v>16</v>
      </c>
      <c r="G650" s="25"/>
    </row>
    <row r="651" spans="2:7" ht="12.75">
      <c r="B651" s="20"/>
      <c r="C651" s="21"/>
      <c r="D651" s="22" t="s">
        <v>206</v>
      </c>
      <c r="E651" s="42">
        <v>115</v>
      </c>
      <c r="F651" s="33" t="s">
        <v>18</v>
      </c>
      <c r="G651" s="25"/>
    </row>
    <row r="652" spans="2:7" ht="12.75">
      <c r="B652" s="20"/>
      <c r="C652" s="21"/>
      <c r="D652" s="22" t="s">
        <v>11</v>
      </c>
      <c r="E652" s="42">
        <v>77</v>
      </c>
      <c r="F652" s="33" t="s">
        <v>20</v>
      </c>
      <c r="G652" s="25"/>
    </row>
    <row r="653" spans="2:7" ht="12.75">
      <c r="B653" s="20"/>
      <c r="C653" s="45"/>
      <c r="D653" s="22" t="s">
        <v>74</v>
      </c>
      <c r="E653" s="42">
        <v>67</v>
      </c>
      <c r="F653" s="33" t="s">
        <v>22</v>
      </c>
      <c r="G653" s="25"/>
    </row>
    <row r="654" spans="2:7" ht="12.75">
      <c r="B654" s="14" t="s">
        <v>73</v>
      </c>
      <c r="C654" s="15">
        <v>43736</v>
      </c>
      <c r="D654" s="16" t="s">
        <v>52</v>
      </c>
      <c r="E654" s="17">
        <v>61</v>
      </c>
      <c r="F654" s="18" t="s">
        <v>9</v>
      </c>
      <c r="G654" s="19">
        <v>1</v>
      </c>
    </row>
    <row r="655" spans="2:7" ht="12.75">
      <c r="B655" s="27" t="s">
        <v>71</v>
      </c>
      <c r="C655" s="28"/>
      <c r="D655" s="29"/>
      <c r="E655" s="30"/>
      <c r="F655" s="31"/>
      <c r="G655" s="32"/>
    </row>
    <row r="656" spans="2:7" ht="12.75">
      <c r="B656" s="10" t="s">
        <v>1</v>
      </c>
      <c r="C656" s="11" t="s">
        <v>2</v>
      </c>
      <c r="D656" s="12" t="s">
        <v>3</v>
      </c>
      <c r="E656" s="12" t="s">
        <v>4</v>
      </c>
      <c r="F656" s="12" t="s">
        <v>5</v>
      </c>
      <c r="G656" s="13" t="s">
        <v>6</v>
      </c>
    </row>
    <row r="657" spans="2:7" ht="12.75">
      <c r="B657" s="14" t="s">
        <v>63</v>
      </c>
      <c r="C657" s="15">
        <v>43737</v>
      </c>
      <c r="D657" s="16" t="s">
        <v>64</v>
      </c>
      <c r="E657" s="17">
        <v>194</v>
      </c>
      <c r="F657" s="18" t="s">
        <v>9</v>
      </c>
      <c r="G657" s="19">
        <v>9</v>
      </c>
    </row>
    <row r="658" spans="2:7" ht="12.75">
      <c r="B658" s="20" t="s">
        <v>88</v>
      </c>
      <c r="C658" s="21"/>
      <c r="D658" s="40" t="s">
        <v>65</v>
      </c>
      <c r="E658" s="41">
        <v>192</v>
      </c>
      <c r="F658" s="24" t="s">
        <v>12</v>
      </c>
      <c r="G658" s="25"/>
    </row>
    <row r="659" spans="2:7" ht="12.75">
      <c r="B659" s="20"/>
      <c r="C659" s="21"/>
      <c r="D659" s="40" t="s">
        <v>57</v>
      </c>
      <c r="E659" s="41">
        <v>186</v>
      </c>
      <c r="F659" s="24" t="s">
        <v>14</v>
      </c>
      <c r="G659" s="25"/>
    </row>
    <row r="660" spans="2:7" ht="12.75">
      <c r="B660" s="20"/>
      <c r="C660" s="21"/>
      <c r="D660" s="22" t="s">
        <v>41</v>
      </c>
      <c r="E660" s="42">
        <v>182</v>
      </c>
      <c r="F660" s="33" t="s">
        <v>16</v>
      </c>
      <c r="G660" s="25"/>
    </row>
    <row r="661" spans="2:7" ht="12.75">
      <c r="B661" s="20"/>
      <c r="C661" s="21"/>
      <c r="D661" s="22" t="s">
        <v>86</v>
      </c>
      <c r="E661" s="42">
        <v>181</v>
      </c>
      <c r="F661" s="33" t="s">
        <v>18</v>
      </c>
      <c r="G661" s="25"/>
    </row>
    <row r="662" spans="2:7" ht="12.75">
      <c r="B662" s="20"/>
      <c r="C662" s="21"/>
      <c r="D662" s="22" t="s">
        <v>11</v>
      </c>
      <c r="E662" s="42">
        <v>181</v>
      </c>
      <c r="F662" s="33" t="s">
        <v>20</v>
      </c>
      <c r="G662" s="25"/>
    </row>
    <row r="663" spans="2:7" ht="12.75">
      <c r="B663" s="20"/>
      <c r="C663" s="21"/>
      <c r="D663" s="22" t="s">
        <v>47</v>
      </c>
      <c r="E663" s="42">
        <v>181</v>
      </c>
      <c r="F663" s="33" t="s">
        <v>22</v>
      </c>
      <c r="G663" s="25"/>
    </row>
    <row r="664" spans="2:7" ht="12.75">
      <c r="B664" s="20"/>
      <c r="C664" s="21"/>
      <c r="D664" s="22" t="s">
        <v>19</v>
      </c>
      <c r="E664" s="42">
        <v>176</v>
      </c>
      <c r="F664" s="33" t="s">
        <v>50</v>
      </c>
      <c r="G664" s="25"/>
    </row>
    <row r="665" spans="2:7" ht="12.75">
      <c r="B665" s="20"/>
      <c r="C665" s="21"/>
      <c r="D665" s="22" t="s">
        <v>66</v>
      </c>
      <c r="E665" s="42">
        <v>154</v>
      </c>
      <c r="F665" s="33" t="s">
        <v>51</v>
      </c>
      <c r="G665" s="25"/>
    </row>
    <row r="666" spans="2:7" ht="12.75">
      <c r="B666" s="14" t="s">
        <v>63</v>
      </c>
      <c r="C666" s="15">
        <v>43737</v>
      </c>
      <c r="D666" s="16" t="s">
        <v>70</v>
      </c>
      <c r="E666" s="17">
        <v>191</v>
      </c>
      <c r="F666" s="18" t="s">
        <v>9</v>
      </c>
      <c r="G666" s="19">
        <v>6</v>
      </c>
    </row>
    <row r="667" spans="2:7" ht="12.75">
      <c r="B667" s="20" t="s">
        <v>59</v>
      </c>
      <c r="C667" s="21"/>
      <c r="D667" s="40" t="s">
        <v>92</v>
      </c>
      <c r="E667" s="41">
        <v>184</v>
      </c>
      <c r="F667" s="24" t="s">
        <v>12</v>
      </c>
      <c r="G667" s="25"/>
    </row>
    <row r="668" spans="2:7" ht="12.75">
      <c r="B668" s="20"/>
      <c r="C668" s="21"/>
      <c r="D668" s="80" t="s">
        <v>80</v>
      </c>
      <c r="E668" s="42">
        <v>183</v>
      </c>
      <c r="F668" s="24" t="s">
        <v>14</v>
      </c>
      <c r="G668" s="25"/>
    </row>
    <row r="669" spans="2:7" ht="12.75">
      <c r="B669" s="20"/>
      <c r="C669" s="21"/>
      <c r="D669" s="80" t="s">
        <v>46</v>
      </c>
      <c r="E669" s="42">
        <v>178</v>
      </c>
      <c r="F669" s="33" t="s">
        <v>16</v>
      </c>
      <c r="G669" s="25"/>
    </row>
    <row r="670" spans="2:7" ht="12.75">
      <c r="B670" s="20"/>
      <c r="C670" s="21"/>
      <c r="D670" s="80" t="s">
        <v>48</v>
      </c>
      <c r="E670" s="42">
        <v>173</v>
      </c>
      <c r="F670" s="26" t="s">
        <v>18</v>
      </c>
      <c r="G670" s="25"/>
    </row>
    <row r="671" spans="2:7" ht="12.75">
      <c r="B671" s="20"/>
      <c r="C671" s="21"/>
      <c r="D671" s="80" t="s">
        <v>83</v>
      </c>
      <c r="E671" s="42">
        <v>161</v>
      </c>
      <c r="F671" s="26" t="s">
        <v>20</v>
      </c>
      <c r="G671" s="25"/>
    </row>
    <row r="672" spans="2:7" ht="12.75">
      <c r="B672" s="27"/>
      <c r="C672" s="28"/>
      <c r="D672" s="29" t="s">
        <v>134</v>
      </c>
      <c r="E672" s="44">
        <v>161</v>
      </c>
      <c r="F672" s="31" t="s">
        <v>20</v>
      </c>
      <c r="G672" s="32"/>
    </row>
    <row r="673" spans="2:7" ht="12.75">
      <c r="B673" s="10" t="s">
        <v>1</v>
      </c>
      <c r="C673" s="11" t="s">
        <v>2</v>
      </c>
      <c r="D673" s="12" t="s">
        <v>3</v>
      </c>
      <c r="E673" s="12" t="s">
        <v>4</v>
      </c>
      <c r="F673" s="12" t="s">
        <v>5</v>
      </c>
      <c r="G673" s="13" t="s">
        <v>6</v>
      </c>
    </row>
    <row r="674" spans="2:7" ht="12.75">
      <c r="B674" s="14" t="s">
        <v>78</v>
      </c>
      <c r="C674" s="15">
        <v>43743</v>
      </c>
      <c r="D674" s="16" t="s">
        <v>44</v>
      </c>
      <c r="E674" s="17">
        <v>20</v>
      </c>
      <c r="F674" s="18" t="s">
        <v>9</v>
      </c>
      <c r="G674" s="19">
        <v>7</v>
      </c>
    </row>
    <row r="675" spans="2:7" ht="12.75">
      <c r="B675" s="20"/>
      <c r="C675" s="21"/>
      <c r="D675" s="22" t="s">
        <v>41</v>
      </c>
      <c r="E675" s="23">
        <v>19</v>
      </c>
      <c r="F675" s="24" t="s">
        <v>12</v>
      </c>
      <c r="G675" s="25"/>
    </row>
    <row r="676" spans="2:7" ht="12.75">
      <c r="B676" s="20"/>
      <c r="C676" s="21"/>
      <c r="D676" s="22" t="s">
        <v>80</v>
      </c>
      <c r="E676" s="23">
        <v>13</v>
      </c>
      <c r="F676" s="24" t="s">
        <v>14</v>
      </c>
      <c r="G676" s="25"/>
    </row>
    <row r="677" spans="2:7" ht="12.75">
      <c r="B677" s="20"/>
      <c r="C677" s="21"/>
      <c r="D677" s="22" t="s">
        <v>66</v>
      </c>
      <c r="E677" s="23">
        <v>12</v>
      </c>
      <c r="F677" s="26" t="s">
        <v>16</v>
      </c>
      <c r="G677" s="25"/>
    </row>
    <row r="678" spans="2:7" ht="12.75">
      <c r="B678" s="20"/>
      <c r="C678" s="21"/>
      <c r="D678" s="22" t="s">
        <v>11</v>
      </c>
      <c r="E678" s="23">
        <v>12</v>
      </c>
      <c r="F678" s="26" t="s">
        <v>18</v>
      </c>
      <c r="G678" s="25"/>
    </row>
    <row r="679" spans="2:7" ht="12.75">
      <c r="B679" s="20"/>
      <c r="C679" s="21"/>
      <c r="D679" s="22" t="s">
        <v>19</v>
      </c>
      <c r="E679" s="23">
        <v>11</v>
      </c>
      <c r="F679" s="26" t="s">
        <v>20</v>
      </c>
      <c r="G679" s="25"/>
    </row>
    <row r="680" spans="2:7" ht="12.75">
      <c r="B680" s="27"/>
      <c r="C680" s="28"/>
      <c r="D680" s="29" t="s">
        <v>83</v>
      </c>
      <c r="E680" s="30">
        <v>9</v>
      </c>
      <c r="F680" s="31" t="s">
        <v>22</v>
      </c>
      <c r="G680" s="32"/>
    </row>
    <row r="681" spans="2:7" ht="12.75">
      <c r="B681" s="10" t="s">
        <v>1</v>
      </c>
      <c r="C681" s="11" t="s">
        <v>2</v>
      </c>
      <c r="D681" s="12" t="s">
        <v>3</v>
      </c>
      <c r="E681" s="12" t="s">
        <v>4</v>
      </c>
      <c r="F681" s="12" t="s">
        <v>5</v>
      </c>
      <c r="G681" s="13" t="s">
        <v>6</v>
      </c>
    </row>
    <row r="682" spans="2:8" ht="12.75">
      <c r="B682" s="14" t="s">
        <v>81</v>
      </c>
      <c r="C682" s="15">
        <v>43744</v>
      </c>
      <c r="D682" s="16" t="s">
        <v>31</v>
      </c>
      <c r="E682" s="34">
        <v>100</v>
      </c>
      <c r="F682" s="18" t="s">
        <v>9</v>
      </c>
      <c r="G682" s="19">
        <v>13</v>
      </c>
      <c r="H682" s="35">
        <v>39.78</v>
      </c>
    </row>
    <row r="683" spans="2:8" ht="12.75">
      <c r="B683" s="20" t="s">
        <v>82</v>
      </c>
      <c r="C683" s="21"/>
      <c r="D683" s="22" t="s">
        <v>40</v>
      </c>
      <c r="E683" s="36">
        <f>3978/39.92</f>
        <v>99.64929859719439</v>
      </c>
      <c r="F683" s="24" t="s">
        <v>12</v>
      </c>
      <c r="G683" s="25"/>
      <c r="H683" s="37">
        <v>39.92</v>
      </c>
    </row>
    <row r="684" spans="2:8" ht="12.75">
      <c r="B684" s="20"/>
      <c r="C684" s="21"/>
      <c r="D684" s="22" t="s">
        <v>79</v>
      </c>
      <c r="E684" s="36">
        <f>3978/41.76</f>
        <v>95.25862068965517</v>
      </c>
      <c r="F684" s="24" t="s">
        <v>14</v>
      </c>
      <c r="G684" s="25"/>
      <c r="H684" s="37">
        <v>41.76</v>
      </c>
    </row>
    <row r="685" spans="2:8" ht="12.75">
      <c r="B685" s="20"/>
      <c r="C685" s="21"/>
      <c r="D685" s="22" t="s">
        <v>44</v>
      </c>
      <c r="E685" s="36">
        <f>3978/43.4</f>
        <v>91.65898617511522</v>
      </c>
      <c r="F685" s="26" t="s">
        <v>16</v>
      </c>
      <c r="G685" s="25"/>
      <c r="H685" s="37">
        <v>43.4</v>
      </c>
    </row>
    <row r="686" spans="2:8" ht="12.75">
      <c r="B686" s="20"/>
      <c r="C686" s="21"/>
      <c r="D686" s="22" t="s">
        <v>41</v>
      </c>
      <c r="E686" s="36">
        <f>3978/46.29</f>
        <v>85.93648736228127</v>
      </c>
      <c r="F686" s="26" t="s">
        <v>18</v>
      </c>
      <c r="G686" s="25"/>
      <c r="H686" s="37">
        <v>46.29</v>
      </c>
    </row>
    <row r="687" spans="2:8" ht="12.75">
      <c r="B687" s="20"/>
      <c r="C687" s="21"/>
      <c r="D687" s="22" t="s">
        <v>47</v>
      </c>
      <c r="E687" s="36">
        <f>3978/53.05</f>
        <v>74.98586239396796</v>
      </c>
      <c r="F687" s="26" t="s">
        <v>20</v>
      </c>
      <c r="G687" s="25"/>
      <c r="H687" s="37">
        <v>53.05</v>
      </c>
    </row>
    <row r="688" spans="2:8" ht="12.75">
      <c r="B688" s="20"/>
      <c r="C688" s="21"/>
      <c r="D688" s="22" t="s">
        <v>19</v>
      </c>
      <c r="E688" s="36">
        <f>3978/56.41</f>
        <v>70.51941145187024</v>
      </c>
      <c r="F688" s="26" t="s">
        <v>22</v>
      </c>
      <c r="G688" s="25"/>
      <c r="H688" s="37">
        <v>56.41</v>
      </c>
    </row>
    <row r="689" spans="2:8" ht="12.75">
      <c r="B689" s="20"/>
      <c r="C689" s="21"/>
      <c r="D689" s="22" t="s">
        <v>207</v>
      </c>
      <c r="E689" s="36">
        <f>3978/65.11</f>
        <v>61.09660574412533</v>
      </c>
      <c r="F689" s="26" t="s">
        <v>50</v>
      </c>
      <c r="G689" s="25"/>
      <c r="H689" s="37">
        <v>65.11</v>
      </c>
    </row>
    <row r="690" spans="2:8" ht="12.75">
      <c r="B690" s="20"/>
      <c r="C690" s="21"/>
      <c r="D690" s="22" t="s">
        <v>46</v>
      </c>
      <c r="E690" s="36">
        <f>3978/80.44</f>
        <v>49.45300845350572</v>
      </c>
      <c r="F690" s="26" t="s">
        <v>51</v>
      </c>
      <c r="G690" s="25"/>
      <c r="H690" s="37">
        <v>80.44</v>
      </c>
    </row>
    <row r="691" spans="2:8" ht="12.75">
      <c r="B691" s="20"/>
      <c r="C691" s="21"/>
      <c r="D691" s="22" t="s">
        <v>43</v>
      </c>
      <c r="E691" s="36">
        <f>3978/93.5</f>
        <v>42.54545454545455</v>
      </c>
      <c r="F691" s="26" t="s">
        <v>67</v>
      </c>
      <c r="G691" s="25"/>
      <c r="H691" s="37">
        <v>93.5</v>
      </c>
    </row>
    <row r="692" spans="2:8" ht="12.75">
      <c r="B692" s="20"/>
      <c r="C692" s="21"/>
      <c r="D692" s="22" t="s">
        <v>74</v>
      </c>
      <c r="E692" s="36">
        <f>3978/93.61</f>
        <v>42.49545988676424</v>
      </c>
      <c r="F692" s="26" t="s">
        <v>75</v>
      </c>
      <c r="G692" s="25"/>
      <c r="H692" s="37">
        <v>93.61</v>
      </c>
    </row>
    <row r="693" spans="2:8" ht="12.75">
      <c r="B693" s="20"/>
      <c r="C693" s="21"/>
      <c r="D693" s="22" t="s">
        <v>61</v>
      </c>
      <c r="E693" s="36">
        <f>3978/96.04</f>
        <v>41.420241566014155</v>
      </c>
      <c r="F693" s="26" t="s">
        <v>77</v>
      </c>
      <c r="G693" s="25"/>
      <c r="H693" s="37">
        <v>96.04</v>
      </c>
    </row>
    <row r="694" spans="2:8" ht="12.75">
      <c r="B694" s="27"/>
      <c r="C694" s="28"/>
      <c r="D694" s="29" t="s">
        <v>92</v>
      </c>
      <c r="E694" s="38">
        <f>3978/188.42</f>
        <v>21.112408449209216</v>
      </c>
      <c r="F694" s="26" t="s">
        <v>155</v>
      </c>
      <c r="G694" s="32"/>
      <c r="H694" s="39">
        <v>188.42</v>
      </c>
    </row>
    <row r="695" spans="2:8" ht="12.75">
      <c r="B695" s="14" t="s">
        <v>81</v>
      </c>
      <c r="C695" s="15">
        <v>43744</v>
      </c>
      <c r="D695" s="16" t="s">
        <v>44</v>
      </c>
      <c r="E695" s="34">
        <v>100</v>
      </c>
      <c r="F695" s="18" t="s">
        <v>9</v>
      </c>
      <c r="G695" s="19">
        <v>9</v>
      </c>
      <c r="H695" s="37">
        <v>55.1</v>
      </c>
    </row>
    <row r="696" spans="2:8" ht="12.75">
      <c r="B696" s="20" t="s">
        <v>84</v>
      </c>
      <c r="C696" s="21"/>
      <c r="D696" s="22" t="s">
        <v>19</v>
      </c>
      <c r="E696" s="36">
        <f>5510/88.06</f>
        <v>62.57097433568022</v>
      </c>
      <c r="F696" s="24" t="s">
        <v>12</v>
      </c>
      <c r="G696" s="25"/>
      <c r="H696" s="37">
        <v>88.06</v>
      </c>
    </row>
    <row r="697" spans="2:8" ht="12.75">
      <c r="B697" s="20"/>
      <c r="C697" s="21"/>
      <c r="D697" s="22" t="s">
        <v>41</v>
      </c>
      <c r="E697" s="36">
        <f>5510/98.54</f>
        <v>55.916379135376495</v>
      </c>
      <c r="F697" s="24" t="s">
        <v>14</v>
      </c>
      <c r="G697" s="25"/>
      <c r="H697" s="37">
        <v>98.54</v>
      </c>
    </row>
    <row r="698" spans="2:8" ht="12.75">
      <c r="B698" s="20"/>
      <c r="C698" s="21"/>
      <c r="D698" s="22" t="s">
        <v>74</v>
      </c>
      <c r="E698" s="36">
        <f>5510/110.79</f>
        <v>49.73373048109035</v>
      </c>
      <c r="F698" s="26" t="s">
        <v>16</v>
      </c>
      <c r="G698" s="25"/>
      <c r="H698" s="37">
        <v>110.79</v>
      </c>
    </row>
    <row r="699" spans="2:8" ht="12.75">
      <c r="B699" s="20"/>
      <c r="C699" s="21"/>
      <c r="D699" s="22" t="s">
        <v>47</v>
      </c>
      <c r="E699" s="36">
        <f>5510/134.93</f>
        <v>40.835989031349584</v>
      </c>
      <c r="F699" s="26" t="s">
        <v>18</v>
      </c>
      <c r="G699" s="25"/>
      <c r="H699" s="37">
        <v>134.93</v>
      </c>
    </row>
    <row r="700" spans="2:8" ht="12.75">
      <c r="B700" s="20"/>
      <c r="C700" s="21"/>
      <c r="D700" s="22" t="s">
        <v>46</v>
      </c>
      <c r="E700" s="36">
        <f>5510/139.55</f>
        <v>39.48405589394482</v>
      </c>
      <c r="F700" s="26" t="s">
        <v>20</v>
      </c>
      <c r="G700" s="25"/>
      <c r="H700" s="37">
        <v>139.55</v>
      </c>
    </row>
    <row r="701" spans="2:8" ht="12.75">
      <c r="B701" s="20"/>
      <c r="C701" s="21"/>
      <c r="D701" s="22" t="s">
        <v>40</v>
      </c>
      <c r="E701" s="36">
        <f>5510/145.43</f>
        <v>37.887643539847346</v>
      </c>
      <c r="F701" s="26" t="s">
        <v>22</v>
      </c>
      <c r="G701" s="25"/>
      <c r="H701" s="37">
        <v>145.43</v>
      </c>
    </row>
    <row r="702" spans="2:8" ht="12.75">
      <c r="B702" s="20"/>
      <c r="C702" s="21"/>
      <c r="D702" s="22" t="s">
        <v>175</v>
      </c>
      <c r="E702" s="36">
        <f>5510/161.57</f>
        <v>34.10286563099586</v>
      </c>
      <c r="F702" s="26" t="s">
        <v>50</v>
      </c>
      <c r="G702" s="25"/>
      <c r="H702" s="37">
        <v>161.57</v>
      </c>
    </row>
    <row r="703" spans="2:8" ht="12.75">
      <c r="B703" s="27"/>
      <c r="C703" s="28"/>
      <c r="D703" s="29" t="s">
        <v>11</v>
      </c>
      <c r="E703" s="38">
        <f>5510/182.84</f>
        <v>30.135637716035877</v>
      </c>
      <c r="F703" s="31" t="s">
        <v>51</v>
      </c>
      <c r="G703" s="32"/>
      <c r="H703" s="39">
        <v>182.84</v>
      </c>
    </row>
    <row r="704" spans="2:7" ht="12.75">
      <c r="B704" s="10" t="s">
        <v>1</v>
      </c>
      <c r="C704" s="11" t="s">
        <v>2</v>
      </c>
      <c r="D704" s="12" t="s">
        <v>3</v>
      </c>
      <c r="E704" s="12" t="s">
        <v>4</v>
      </c>
      <c r="F704" s="12" t="s">
        <v>5</v>
      </c>
      <c r="G704" s="13" t="s">
        <v>6</v>
      </c>
    </row>
    <row r="705" spans="2:7" ht="12.75">
      <c r="B705" s="14" t="s">
        <v>55</v>
      </c>
      <c r="C705" s="15">
        <v>43751</v>
      </c>
      <c r="D705" s="16" t="s">
        <v>175</v>
      </c>
      <c r="E705" s="17">
        <v>77</v>
      </c>
      <c r="F705" s="18" t="s">
        <v>9</v>
      </c>
      <c r="G705" s="19">
        <v>4</v>
      </c>
    </row>
    <row r="706" spans="2:7" ht="12.75">
      <c r="B706" s="20" t="s">
        <v>56</v>
      </c>
      <c r="C706" s="21"/>
      <c r="D706" s="22" t="s">
        <v>46</v>
      </c>
      <c r="E706" s="23">
        <v>75</v>
      </c>
      <c r="F706" s="33" t="s">
        <v>12</v>
      </c>
      <c r="G706" s="25"/>
    </row>
    <row r="707" spans="2:7" ht="12.75">
      <c r="B707" s="20"/>
      <c r="C707" s="21"/>
      <c r="D707" s="22" t="s">
        <v>41</v>
      </c>
      <c r="E707" s="23">
        <v>73</v>
      </c>
      <c r="F707" s="33" t="s">
        <v>14</v>
      </c>
      <c r="G707" s="25"/>
    </row>
    <row r="708" spans="2:7" ht="12.75">
      <c r="B708" s="20"/>
      <c r="C708" s="21"/>
      <c r="D708" s="22" t="s">
        <v>57</v>
      </c>
      <c r="E708" s="23">
        <v>63</v>
      </c>
      <c r="F708" s="33" t="s">
        <v>16</v>
      </c>
      <c r="G708" s="25"/>
    </row>
    <row r="709" spans="2:7" ht="12.75">
      <c r="B709" s="14" t="s">
        <v>55</v>
      </c>
      <c r="C709" s="15">
        <v>43751</v>
      </c>
      <c r="D709" s="16" t="s">
        <v>58</v>
      </c>
      <c r="E709" s="17">
        <v>54</v>
      </c>
      <c r="F709" s="47" t="s">
        <v>9</v>
      </c>
      <c r="G709" s="19">
        <v>2</v>
      </c>
    </row>
    <row r="710" spans="2:7" ht="12.75">
      <c r="B710" s="20" t="s">
        <v>59</v>
      </c>
      <c r="C710" s="21"/>
      <c r="D710" s="22" t="s">
        <v>19</v>
      </c>
      <c r="E710" s="23">
        <v>48</v>
      </c>
      <c r="F710" s="33" t="s">
        <v>12</v>
      </c>
      <c r="G710" s="25"/>
    </row>
    <row r="711" spans="2:7" ht="12.75">
      <c r="B711" s="10" t="s">
        <v>1</v>
      </c>
      <c r="C711" s="11" t="s">
        <v>2</v>
      </c>
      <c r="D711" s="12" t="s">
        <v>3</v>
      </c>
      <c r="E711" s="12" t="s">
        <v>4</v>
      </c>
      <c r="F711" s="12" t="s">
        <v>5</v>
      </c>
      <c r="G711" s="13" t="s">
        <v>6</v>
      </c>
    </row>
    <row r="712" spans="2:7" ht="12.75">
      <c r="B712" s="14" t="s">
        <v>60</v>
      </c>
      <c r="C712" s="15">
        <v>43750</v>
      </c>
      <c r="D712" s="16" t="s">
        <v>41</v>
      </c>
      <c r="E712" s="17">
        <v>98</v>
      </c>
      <c r="F712" s="18" t="s">
        <v>9</v>
      </c>
      <c r="G712" s="19">
        <v>5</v>
      </c>
    </row>
    <row r="713" spans="2:7" ht="12.75">
      <c r="B713" s="20" t="s">
        <v>56</v>
      </c>
      <c r="C713" s="21"/>
      <c r="D713" s="40" t="s">
        <v>175</v>
      </c>
      <c r="E713" s="41">
        <v>94</v>
      </c>
      <c r="F713" s="24" t="s">
        <v>12</v>
      </c>
      <c r="G713" s="25"/>
    </row>
    <row r="714" spans="2:7" ht="12.75">
      <c r="B714" s="20"/>
      <c r="C714" s="21"/>
      <c r="D714" s="22" t="s">
        <v>57</v>
      </c>
      <c r="E714" s="42">
        <v>81</v>
      </c>
      <c r="F714" s="33" t="s">
        <v>14</v>
      </c>
      <c r="G714" s="25"/>
    </row>
    <row r="715" spans="2:7" ht="12.75">
      <c r="B715" s="20"/>
      <c r="C715" s="21"/>
      <c r="D715" s="22" t="s">
        <v>19</v>
      </c>
      <c r="E715" s="42">
        <v>81</v>
      </c>
      <c r="F715" s="33" t="s">
        <v>16</v>
      </c>
      <c r="G715" s="25"/>
    </row>
    <row r="716" spans="2:7" ht="12.75">
      <c r="B716" s="20"/>
      <c r="C716" s="21"/>
      <c r="D716" s="22" t="s">
        <v>46</v>
      </c>
      <c r="E716" s="42">
        <v>38</v>
      </c>
      <c r="F716" s="33" t="s">
        <v>18</v>
      </c>
      <c r="G716" s="25"/>
    </row>
    <row r="717" spans="2:7" ht="12.75">
      <c r="B717" s="14" t="s">
        <v>60</v>
      </c>
      <c r="C717" s="15">
        <v>43750</v>
      </c>
      <c r="D717" s="16" t="s">
        <v>58</v>
      </c>
      <c r="E717" s="17">
        <v>74</v>
      </c>
      <c r="F717" s="47" t="s">
        <v>9</v>
      </c>
      <c r="G717" s="19">
        <v>2</v>
      </c>
    </row>
    <row r="718" spans="2:7" ht="12.75">
      <c r="B718" s="20" t="s">
        <v>59</v>
      </c>
      <c r="C718" s="21"/>
      <c r="D718" s="40" t="s">
        <v>21</v>
      </c>
      <c r="E718" s="41">
        <v>38</v>
      </c>
      <c r="F718" s="33" t="s">
        <v>12</v>
      </c>
      <c r="G718" s="25"/>
    </row>
    <row r="719" spans="2:7" ht="12.75">
      <c r="B719" s="14" t="s">
        <v>60</v>
      </c>
      <c r="C719" s="15">
        <v>43750</v>
      </c>
      <c r="D719" s="16" t="s">
        <v>79</v>
      </c>
      <c r="E719" s="17">
        <v>85</v>
      </c>
      <c r="F719" s="18" t="s">
        <v>9</v>
      </c>
      <c r="G719" s="19">
        <v>1</v>
      </c>
    </row>
    <row r="720" spans="2:7" ht="12.75">
      <c r="B720" s="27" t="s">
        <v>62</v>
      </c>
      <c r="C720" s="28"/>
      <c r="D720" s="43"/>
      <c r="E720" s="44"/>
      <c r="F720" s="31"/>
      <c r="G720" s="32"/>
    </row>
    <row r="721" spans="2:7" ht="12.75">
      <c r="B721" s="10" t="s">
        <v>1</v>
      </c>
      <c r="C721" s="11" t="s">
        <v>2</v>
      </c>
      <c r="D721" s="12" t="s">
        <v>3</v>
      </c>
      <c r="E721" s="12" t="s">
        <v>4</v>
      </c>
      <c r="F721" s="12" t="s">
        <v>5</v>
      </c>
      <c r="G721" s="13" t="s">
        <v>6</v>
      </c>
    </row>
    <row r="722" spans="2:7" ht="12.75">
      <c r="B722" s="14" t="s">
        <v>63</v>
      </c>
      <c r="C722" s="15">
        <v>43751</v>
      </c>
      <c r="D722" s="16" t="s">
        <v>64</v>
      </c>
      <c r="E722" s="17">
        <v>197</v>
      </c>
      <c r="F722" s="18" t="s">
        <v>9</v>
      </c>
      <c r="G722" s="19">
        <v>7</v>
      </c>
    </row>
    <row r="723" spans="2:7" ht="12.75">
      <c r="B723" s="20" t="s">
        <v>88</v>
      </c>
      <c r="C723" s="21"/>
      <c r="D723" s="40" t="s">
        <v>65</v>
      </c>
      <c r="E723" s="41">
        <v>192</v>
      </c>
      <c r="F723" s="24" t="s">
        <v>12</v>
      </c>
      <c r="G723" s="25"/>
    </row>
    <row r="724" spans="2:7" ht="12.75">
      <c r="B724" s="20"/>
      <c r="C724" s="21"/>
      <c r="D724" s="22" t="s">
        <v>19</v>
      </c>
      <c r="E724" s="42">
        <v>189</v>
      </c>
      <c r="F724" s="24" t="s">
        <v>14</v>
      </c>
      <c r="G724" s="25"/>
    </row>
    <row r="725" spans="2:7" ht="12.75">
      <c r="B725" s="20"/>
      <c r="C725" s="21"/>
      <c r="D725" s="22" t="s">
        <v>41</v>
      </c>
      <c r="E725" s="42">
        <v>189</v>
      </c>
      <c r="F725" s="33" t="s">
        <v>16</v>
      </c>
      <c r="G725" s="25"/>
    </row>
    <row r="726" spans="2:7" ht="12.75">
      <c r="B726" s="20"/>
      <c r="C726" s="21"/>
      <c r="D726" s="22" t="s">
        <v>57</v>
      </c>
      <c r="E726" s="42">
        <v>188</v>
      </c>
      <c r="F726" s="33" t="s">
        <v>18</v>
      </c>
      <c r="G726" s="25"/>
    </row>
    <row r="727" spans="2:7" ht="12.75">
      <c r="B727" s="20"/>
      <c r="C727" s="21"/>
      <c r="D727" s="22" t="s">
        <v>175</v>
      </c>
      <c r="E727" s="42">
        <v>180</v>
      </c>
      <c r="F727" s="33" t="s">
        <v>20</v>
      </c>
      <c r="G727" s="25"/>
    </row>
    <row r="728" spans="2:7" ht="12.75">
      <c r="B728" s="20"/>
      <c r="C728" s="21"/>
      <c r="D728" s="22" t="s">
        <v>47</v>
      </c>
      <c r="E728" s="42">
        <v>170</v>
      </c>
      <c r="F728" s="33" t="s">
        <v>22</v>
      </c>
      <c r="G728" s="25"/>
    </row>
    <row r="729" spans="2:7" ht="12.75">
      <c r="B729" s="14" t="s">
        <v>63</v>
      </c>
      <c r="C729" s="15">
        <v>43751</v>
      </c>
      <c r="D729" s="16" t="s">
        <v>80</v>
      </c>
      <c r="E729" s="17">
        <v>195</v>
      </c>
      <c r="F729" s="18" t="s">
        <v>9</v>
      </c>
      <c r="G729" s="19">
        <v>4</v>
      </c>
    </row>
    <row r="730" spans="2:7" ht="12.75">
      <c r="B730" s="20" t="s">
        <v>59</v>
      </c>
      <c r="C730" s="21"/>
      <c r="D730" s="40" t="s">
        <v>46</v>
      </c>
      <c r="E730" s="41">
        <v>189</v>
      </c>
      <c r="F730" s="33" t="s">
        <v>12</v>
      </c>
      <c r="G730" s="25"/>
    </row>
    <row r="731" spans="2:7" ht="12.75">
      <c r="B731" s="20"/>
      <c r="C731" s="21"/>
      <c r="D731" s="80" t="s">
        <v>92</v>
      </c>
      <c r="E731" s="42">
        <v>176</v>
      </c>
      <c r="F731" s="26" t="s">
        <v>14</v>
      </c>
      <c r="G731" s="25"/>
    </row>
    <row r="732" spans="2:7" ht="12.75">
      <c r="B732" s="27"/>
      <c r="C732" s="28"/>
      <c r="D732" s="29" t="s">
        <v>68</v>
      </c>
      <c r="E732" s="44">
        <v>175</v>
      </c>
      <c r="F732" s="31" t="s">
        <v>16</v>
      </c>
      <c r="G732" s="32"/>
    </row>
    <row r="733" spans="2:7" ht="12.75">
      <c r="B733" s="10" t="s">
        <v>1</v>
      </c>
      <c r="C733" s="11" t="s">
        <v>2</v>
      </c>
      <c r="D733" s="12" t="s">
        <v>3</v>
      </c>
      <c r="E733" s="12" t="s">
        <v>4</v>
      </c>
      <c r="F733" s="12" t="s">
        <v>5</v>
      </c>
      <c r="G733" s="13" t="s">
        <v>6</v>
      </c>
    </row>
    <row r="734" spans="2:8" ht="12.75">
      <c r="B734" s="14" t="s">
        <v>37</v>
      </c>
      <c r="C734" s="15">
        <v>43758</v>
      </c>
      <c r="D734" s="16" t="s">
        <v>31</v>
      </c>
      <c r="E734" s="34">
        <v>100</v>
      </c>
      <c r="F734" s="18" t="s">
        <v>9</v>
      </c>
      <c r="G734" s="19">
        <v>4</v>
      </c>
      <c r="H734" s="35">
        <v>32.31</v>
      </c>
    </row>
    <row r="735" spans="2:8" ht="12.75">
      <c r="B735" s="20" t="s">
        <v>39</v>
      </c>
      <c r="C735" s="21"/>
      <c r="D735" s="22" t="s">
        <v>41</v>
      </c>
      <c r="E735" s="36">
        <f>3231/37.69</f>
        <v>85.72565667285753</v>
      </c>
      <c r="F735" s="33" t="s">
        <v>12</v>
      </c>
      <c r="G735" s="25"/>
      <c r="H735" s="37">
        <v>37.69</v>
      </c>
    </row>
    <row r="736" spans="2:8" ht="12.75">
      <c r="B736" s="20"/>
      <c r="C736" s="21"/>
      <c r="D736" s="22" t="s">
        <v>86</v>
      </c>
      <c r="E736" s="36">
        <f>3231/60.86</f>
        <v>53.089056851791</v>
      </c>
      <c r="F736" s="33" t="s">
        <v>14</v>
      </c>
      <c r="G736" s="25"/>
      <c r="H736" s="37">
        <v>60.86</v>
      </c>
    </row>
    <row r="737" spans="2:8" ht="12.75">
      <c r="B737" s="20"/>
      <c r="C737" s="21"/>
      <c r="D737" s="22" t="s">
        <v>43</v>
      </c>
      <c r="E737" s="36">
        <f>3231/84.43</f>
        <v>38.26838801373919</v>
      </c>
      <c r="F737" s="26" t="s">
        <v>16</v>
      </c>
      <c r="G737" s="25"/>
      <c r="H737" s="37">
        <v>84.43</v>
      </c>
    </row>
    <row r="738" spans="2:8" ht="12.75">
      <c r="B738" s="14" t="s">
        <v>37</v>
      </c>
      <c r="C738" s="15">
        <v>43758</v>
      </c>
      <c r="D738" s="16" t="s">
        <v>46</v>
      </c>
      <c r="E738" s="34">
        <v>100</v>
      </c>
      <c r="F738" s="18" t="s">
        <v>9</v>
      </c>
      <c r="G738" s="19">
        <v>6</v>
      </c>
      <c r="H738" s="35">
        <v>35.96</v>
      </c>
    </row>
    <row r="739" spans="2:8" ht="12.75">
      <c r="B739" s="20" t="s">
        <v>45</v>
      </c>
      <c r="C739" s="21"/>
      <c r="D739" s="22" t="s">
        <v>70</v>
      </c>
      <c r="E739" s="36">
        <f>3596/49.34</f>
        <v>72.8820429671666</v>
      </c>
      <c r="F739" s="24" t="s">
        <v>12</v>
      </c>
      <c r="G739" s="25"/>
      <c r="H739" s="37">
        <v>49.34</v>
      </c>
    </row>
    <row r="740" spans="2:8" ht="12.75">
      <c r="B740" s="20"/>
      <c r="C740" s="21"/>
      <c r="D740" s="22" t="s">
        <v>19</v>
      </c>
      <c r="E740" s="36">
        <f>3596/61.46</f>
        <v>58.509599739668076</v>
      </c>
      <c r="F740" s="24" t="s">
        <v>14</v>
      </c>
      <c r="G740" s="25"/>
      <c r="H740" s="37">
        <v>61.46</v>
      </c>
    </row>
    <row r="741" spans="2:8" ht="12.75">
      <c r="B741" s="20"/>
      <c r="C741" s="21"/>
      <c r="D741" s="22" t="s">
        <v>52</v>
      </c>
      <c r="E741" s="36">
        <f>3596/71.23</f>
        <v>50.484346483223355</v>
      </c>
      <c r="F741" s="26" t="s">
        <v>16</v>
      </c>
      <c r="G741" s="25"/>
      <c r="H741" s="37">
        <v>71.23</v>
      </c>
    </row>
    <row r="742" spans="2:8" ht="12.75">
      <c r="B742" s="20"/>
      <c r="C742" s="21"/>
      <c r="D742" s="22" t="s">
        <v>61</v>
      </c>
      <c r="E742" s="36">
        <f>3596/73.12</f>
        <v>49.179431072210065</v>
      </c>
      <c r="F742" s="26" t="s">
        <v>18</v>
      </c>
      <c r="G742" s="25"/>
      <c r="H742" s="37">
        <v>73.12</v>
      </c>
    </row>
    <row r="743" spans="2:8" ht="12.75">
      <c r="B743" s="27"/>
      <c r="C743" s="28"/>
      <c r="D743" s="29" t="s">
        <v>47</v>
      </c>
      <c r="E743" s="38">
        <f>3596/77.49</f>
        <v>46.40598786940251</v>
      </c>
      <c r="F743" s="31" t="s">
        <v>20</v>
      </c>
      <c r="G743" s="32"/>
      <c r="H743" s="39">
        <v>77.49</v>
      </c>
    </row>
    <row r="744" spans="2:7" ht="12.75">
      <c r="B744" s="10" t="s">
        <v>1</v>
      </c>
      <c r="C744" s="11" t="s">
        <v>2</v>
      </c>
      <c r="D744" s="12" t="s">
        <v>3</v>
      </c>
      <c r="E744" s="12" t="s">
        <v>4</v>
      </c>
      <c r="F744" s="12" t="s">
        <v>5</v>
      </c>
      <c r="G744" s="13" t="s">
        <v>6</v>
      </c>
    </row>
    <row r="745" spans="2:7" ht="12.75">
      <c r="B745" s="14" t="s">
        <v>197</v>
      </c>
      <c r="C745" s="15">
        <v>43764</v>
      </c>
      <c r="D745" s="16" t="s">
        <v>28</v>
      </c>
      <c r="E745" s="17">
        <v>498</v>
      </c>
      <c r="F745" s="18" t="s">
        <v>9</v>
      </c>
      <c r="G745" s="19">
        <v>3</v>
      </c>
    </row>
    <row r="746" spans="2:7" ht="12.75">
      <c r="B746" s="20"/>
      <c r="C746" s="21"/>
      <c r="D746" s="40" t="s">
        <v>13</v>
      </c>
      <c r="E746" s="41">
        <v>488</v>
      </c>
      <c r="F746" s="33" t="s">
        <v>12</v>
      </c>
      <c r="G746" s="25"/>
    </row>
    <row r="747" spans="2:7" ht="12.75">
      <c r="B747" s="27"/>
      <c r="C747" s="28"/>
      <c r="D747" s="29" t="s">
        <v>41</v>
      </c>
      <c r="E747" s="44">
        <v>449</v>
      </c>
      <c r="F747" s="31" t="s">
        <v>14</v>
      </c>
      <c r="G747" s="32"/>
    </row>
    <row r="748" spans="2:7" ht="12.75">
      <c r="B748" s="10" t="s">
        <v>1</v>
      </c>
      <c r="C748" s="11" t="s">
        <v>2</v>
      </c>
      <c r="D748" s="12" t="s">
        <v>3</v>
      </c>
      <c r="E748" s="12" t="s">
        <v>4</v>
      </c>
      <c r="F748" s="12" t="s">
        <v>5</v>
      </c>
      <c r="G748" s="13" t="s">
        <v>6</v>
      </c>
    </row>
    <row r="749" spans="2:7" ht="12.75">
      <c r="B749" s="14" t="s">
        <v>190</v>
      </c>
      <c r="C749" s="15">
        <v>43772</v>
      </c>
      <c r="D749" s="16" t="s">
        <v>40</v>
      </c>
      <c r="E749" s="17">
        <v>515</v>
      </c>
      <c r="F749" s="18" t="s">
        <v>9</v>
      </c>
      <c r="G749" s="19">
        <v>5</v>
      </c>
    </row>
    <row r="750" spans="2:7" ht="12.75">
      <c r="B750" s="20"/>
      <c r="C750" s="21"/>
      <c r="D750" s="22" t="s">
        <v>28</v>
      </c>
      <c r="E750" s="23">
        <v>514</v>
      </c>
      <c r="F750" s="24" t="s">
        <v>12</v>
      </c>
      <c r="G750" s="25"/>
    </row>
    <row r="751" spans="2:7" ht="12.75">
      <c r="B751" s="20"/>
      <c r="C751" s="21"/>
      <c r="D751" s="22" t="s">
        <v>41</v>
      </c>
      <c r="E751" s="23">
        <v>405</v>
      </c>
      <c r="F751" s="33" t="s">
        <v>14</v>
      </c>
      <c r="G751" s="25"/>
    </row>
    <row r="752" spans="2:7" ht="12.75">
      <c r="B752" s="20"/>
      <c r="C752" s="21"/>
      <c r="D752" s="22" t="s">
        <v>175</v>
      </c>
      <c r="E752" s="23">
        <v>348</v>
      </c>
      <c r="F752" s="33" t="s">
        <v>16</v>
      </c>
      <c r="G752" s="25"/>
    </row>
    <row r="753" spans="2:7" ht="12.75">
      <c r="B753" s="27"/>
      <c r="C753" s="28"/>
      <c r="D753" s="29" t="s">
        <v>19</v>
      </c>
      <c r="E753" s="30">
        <v>276</v>
      </c>
      <c r="F753" s="31" t="s">
        <v>18</v>
      </c>
      <c r="G753" s="32"/>
    </row>
    <row r="754" spans="2:7" ht="12.75">
      <c r="B754" s="27" t="s">
        <v>208</v>
      </c>
      <c r="C754" s="28">
        <v>43772</v>
      </c>
      <c r="D754" s="86" t="s">
        <v>8</v>
      </c>
      <c r="E754" s="87">
        <v>436</v>
      </c>
      <c r="F754" s="88" t="s">
        <v>9</v>
      </c>
      <c r="G754" s="32">
        <v>1</v>
      </c>
    </row>
    <row r="755" spans="2:7" ht="12.75">
      <c r="B755" s="10" t="s">
        <v>1</v>
      </c>
      <c r="C755" s="11" t="s">
        <v>2</v>
      </c>
      <c r="D755" s="12" t="s">
        <v>3</v>
      </c>
      <c r="E755" s="12" t="s">
        <v>4</v>
      </c>
      <c r="F755" s="12" t="s">
        <v>5</v>
      </c>
      <c r="G755" s="13" t="s">
        <v>6</v>
      </c>
    </row>
    <row r="756" spans="2:7" ht="12.75">
      <c r="B756" s="14" t="s">
        <v>27</v>
      </c>
      <c r="C756" s="15">
        <v>43778</v>
      </c>
      <c r="D756" s="16" t="s">
        <v>28</v>
      </c>
      <c r="E756" s="17">
        <v>325</v>
      </c>
      <c r="F756" s="47" t="s">
        <v>9</v>
      </c>
      <c r="G756" s="19">
        <v>2</v>
      </c>
    </row>
    <row r="757" spans="2:7" ht="12.75">
      <c r="B757" s="20" t="s">
        <v>209</v>
      </c>
      <c r="C757" s="21"/>
      <c r="D757" s="22" t="s">
        <v>40</v>
      </c>
      <c r="E757" s="23">
        <v>288</v>
      </c>
      <c r="F757" s="33" t="s">
        <v>12</v>
      </c>
      <c r="G757" s="25"/>
    </row>
    <row r="758" spans="2:7" ht="12.75">
      <c r="B758" s="14" t="s">
        <v>27</v>
      </c>
      <c r="C758" s="15">
        <v>43778</v>
      </c>
      <c r="D758" s="16" t="s">
        <v>28</v>
      </c>
      <c r="E758" s="17">
        <v>329</v>
      </c>
      <c r="F758" s="18" t="s">
        <v>9</v>
      </c>
      <c r="G758" s="19">
        <v>3</v>
      </c>
    </row>
    <row r="759" spans="2:7" ht="12.75">
      <c r="B759" s="20" t="s">
        <v>210</v>
      </c>
      <c r="C759" s="21"/>
      <c r="D759" s="22" t="s">
        <v>40</v>
      </c>
      <c r="E759" s="23">
        <v>313</v>
      </c>
      <c r="F759" s="33" t="s">
        <v>12</v>
      </c>
      <c r="G759" s="25"/>
    </row>
    <row r="760" spans="2:7" ht="12.75">
      <c r="B760" s="27"/>
      <c r="C760" s="28"/>
      <c r="D760" s="29" t="s">
        <v>32</v>
      </c>
      <c r="E760" s="30">
        <v>264</v>
      </c>
      <c r="F760" s="31" t="s">
        <v>14</v>
      </c>
      <c r="G760" s="32"/>
    </row>
    <row r="761" spans="2:7" ht="12.75">
      <c r="B761" s="10" t="s">
        <v>1</v>
      </c>
      <c r="C761" s="11" t="s">
        <v>2</v>
      </c>
      <c r="D761" s="12" t="s">
        <v>3</v>
      </c>
      <c r="E761" s="12" t="s">
        <v>4</v>
      </c>
      <c r="F761" s="12" t="s">
        <v>5</v>
      </c>
      <c r="G761" s="13" t="s">
        <v>6</v>
      </c>
    </row>
    <row r="762" spans="2:7" ht="12.75">
      <c r="B762" s="14" t="s">
        <v>55</v>
      </c>
      <c r="C762" s="15">
        <v>43778</v>
      </c>
      <c r="D762" s="16" t="s">
        <v>41</v>
      </c>
      <c r="E762" s="17">
        <v>92</v>
      </c>
      <c r="F762" s="47" t="s">
        <v>9</v>
      </c>
      <c r="G762" s="19">
        <v>2</v>
      </c>
    </row>
    <row r="763" spans="2:7" ht="12.75">
      <c r="B763" s="20" t="s">
        <v>56</v>
      </c>
      <c r="C763" s="21"/>
      <c r="D763" s="22" t="s">
        <v>175</v>
      </c>
      <c r="E763" s="23">
        <v>84</v>
      </c>
      <c r="F763" s="33" t="s">
        <v>12</v>
      </c>
      <c r="G763" s="25"/>
    </row>
    <row r="764" spans="2:7" ht="12.75">
      <c r="B764" s="14" t="s">
        <v>55</v>
      </c>
      <c r="C764" s="15">
        <v>43778</v>
      </c>
      <c r="D764" s="16" t="s">
        <v>58</v>
      </c>
      <c r="E764" s="17">
        <v>51</v>
      </c>
      <c r="F764" s="18" t="s">
        <v>9</v>
      </c>
      <c r="G764" s="19">
        <v>3</v>
      </c>
    </row>
    <row r="765" spans="2:7" ht="12.75">
      <c r="B765" s="20" t="s">
        <v>59</v>
      </c>
      <c r="C765" s="21"/>
      <c r="D765" s="22" t="s">
        <v>19</v>
      </c>
      <c r="E765" s="23">
        <v>46</v>
      </c>
      <c r="F765" s="33" t="s">
        <v>12</v>
      </c>
      <c r="G765" s="25"/>
    </row>
    <row r="766" spans="2:7" ht="12.75">
      <c r="B766" s="20"/>
      <c r="C766" s="21"/>
      <c r="D766" s="22" t="s">
        <v>52</v>
      </c>
      <c r="E766" s="23">
        <v>26</v>
      </c>
      <c r="F766" s="33" t="s">
        <v>14</v>
      </c>
      <c r="G766" s="25"/>
    </row>
    <row r="767" spans="2:7" ht="12.75">
      <c r="B767" s="10" t="s">
        <v>1</v>
      </c>
      <c r="C767" s="11" t="s">
        <v>2</v>
      </c>
      <c r="D767" s="12" t="s">
        <v>3</v>
      </c>
      <c r="E767" s="12" t="s">
        <v>4</v>
      </c>
      <c r="F767" s="12" t="s">
        <v>5</v>
      </c>
      <c r="G767" s="13" t="s">
        <v>6</v>
      </c>
    </row>
    <row r="768" spans="2:7" ht="12.75">
      <c r="B768" s="14" t="s">
        <v>60</v>
      </c>
      <c r="C768" s="15">
        <v>43778</v>
      </c>
      <c r="D768" s="16" t="s">
        <v>175</v>
      </c>
      <c r="E768" s="17">
        <v>94</v>
      </c>
      <c r="F768" s="18" t="s">
        <v>9</v>
      </c>
      <c r="G768" s="19">
        <v>4</v>
      </c>
    </row>
    <row r="769" spans="2:7" ht="12.75">
      <c r="B769" s="20" t="s">
        <v>56</v>
      </c>
      <c r="C769" s="21"/>
      <c r="D769" s="40" t="s">
        <v>41</v>
      </c>
      <c r="E769" s="41">
        <v>88</v>
      </c>
      <c r="F769" s="33" t="s">
        <v>12</v>
      </c>
      <c r="G769" s="25"/>
    </row>
    <row r="770" spans="2:7" ht="12.75">
      <c r="B770" s="20"/>
      <c r="C770" s="21"/>
      <c r="D770" s="22" t="s">
        <v>8</v>
      </c>
      <c r="E770" s="42">
        <v>81</v>
      </c>
      <c r="F770" s="33" t="s">
        <v>14</v>
      </c>
      <c r="G770" s="25"/>
    </row>
    <row r="771" spans="2:7" ht="12.75">
      <c r="B771" s="20"/>
      <c r="C771" s="21"/>
      <c r="D771" s="22" t="s">
        <v>19</v>
      </c>
      <c r="E771" s="42">
        <v>76</v>
      </c>
      <c r="F771" s="33" t="s">
        <v>16</v>
      </c>
      <c r="G771" s="25"/>
    </row>
    <row r="772" spans="2:7" ht="12.75">
      <c r="B772" s="14" t="s">
        <v>60</v>
      </c>
      <c r="C772" s="15">
        <v>43778</v>
      </c>
      <c r="D772" s="16" t="s">
        <v>61</v>
      </c>
      <c r="E772" s="17">
        <v>57</v>
      </c>
      <c r="F772" s="18" t="s">
        <v>9</v>
      </c>
      <c r="G772" s="19">
        <v>3</v>
      </c>
    </row>
    <row r="773" spans="2:7" ht="12.75">
      <c r="B773" s="20" t="s">
        <v>59</v>
      </c>
      <c r="C773" s="21"/>
      <c r="D773" s="40" t="s">
        <v>52</v>
      </c>
      <c r="E773" s="41">
        <v>52</v>
      </c>
      <c r="F773" s="33" t="s">
        <v>12</v>
      </c>
      <c r="G773" s="25"/>
    </row>
    <row r="774" spans="2:7" ht="12.75">
      <c r="B774" s="27"/>
      <c r="C774" s="28"/>
      <c r="D774" s="29" t="s">
        <v>58</v>
      </c>
      <c r="E774" s="44">
        <v>36</v>
      </c>
      <c r="F774" s="31" t="s">
        <v>14</v>
      </c>
      <c r="G774" s="32"/>
    </row>
    <row r="775" spans="2:7" ht="12.75">
      <c r="B775" s="10" t="s">
        <v>1</v>
      </c>
      <c r="C775" s="11" t="s">
        <v>2</v>
      </c>
      <c r="D775" s="12" t="s">
        <v>3</v>
      </c>
      <c r="E775" s="12" t="s">
        <v>4</v>
      </c>
      <c r="F775" s="12" t="s">
        <v>5</v>
      </c>
      <c r="G775" s="13" t="s">
        <v>6</v>
      </c>
    </row>
    <row r="776" spans="2:7" ht="12.75">
      <c r="B776" s="14" t="s">
        <v>63</v>
      </c>
      <c r="C776" s="15">
        <v>43785</v>
      </c>
      <c r="D776" s="16" t="s">
        <v>64</v>
      </c>
      <c r="E776" s="17">
        <v>195</v>
      </c>
      <c r="F776" s="18" t="s">
        <v>9</v>
      </c>
      <c r="G776" s="19">
        <v>4</v>
      </c>
    </row>
    <row r="777" spans="2:7" ht="12.75">
      <c r="B777" s="20" t="s">
        <v>88</v>
      </c>
      <c r="C777" s="21"/>
      <c r="D777" s="90" t="s">
        <v>65</v>
      </c>
      <c r="E777" s="91">
        <v>191</v>
      </c>
      <c r="F777" s="33" t="s">
        <v>12</v>
      </c>
      <c r="G777" s="25"/>
    </row>
    <row r="778" spans="2:7" ht="12.75">
      <c r="B778" s="20"/>
      <c r="C778" s="21"/>
      <c r="D778" s="40" t="s">
        <v>41</v>
      </c>
      <c r="E778" s="41">
        <v>184</v>
      </c>
      <c r="F778" s="33" t="s">
        <v>14</v>
      </c>
      <c r="G778" s="25"/>
    </row>
    <row r="779" spans="2:7" ht="12.75">
      <c r="B779" s="20"/>
      <c r="C779" s="21"/>
      <c r="D779" s="22" t="s">
        <v>11</v>
      </c>
      <c r="E779" s="42">
        <v>181</v>
      </c>
      <c r="F779" s="33" t="s">
        <v>16</v>
      </c>
      <c r="G779" s="25"/>
    </row>
    <row r="780" spans="2:7" ht="12.75">
      <c r="B780" s="14" t="s">
        <v>63</v>
      </c>
      <c r="C780" s="15">
        <v>43724</v>
      </c>
      <c r="D780" s="16" t="s">
        <v>80</v>
      </c>
      <c r="E780" s="17">
        <v>191</v>
      </c>
      <c r="F780" s="18" t="s">
        <v>9</v>
      </c>
      <c r="G780" s="19">
        <v>3</v>
      </c>
    </row>
    <row r="781" spans="2:7" ht="12.75">
      <c r="B781" s="20" t="s">
        <v>59</v>
      </c>
      <c r="C781" s="21"/>
      <c r="D781" s="40" t="s">
        <v>46</v>
      </c>
      <c r="E781" s="41">
        <v>182</v>
      </c>
      <c r="F781" s="33" t="s">
        <v>12</v>
      </c>
      <c r="G781" s="25"/>
    </row>
    <row r="782" spans="2:7" ht="12.75">
      <c r="B782" s="27"/>
      <c r="C782" s="28"/>
      <c r="D782" s="29" t="s">
        <v>68</v>
      </c>
      <c r="E782" s="44">
        <v>168</v>
      </c>
      <c r="F782" s="31" t="s">
        <v>14</v>
      </c>
      <c r="G782" s="32"/>
    </row>
    <row r="783" spans="2:7" ht="12.75">
      <c r="B783" s="10" t="s">
        <v>1</v>
      </c>
      <c r="C783" s="11" t="s">
        <v>2</v>
      </c>
      <c r="D783" s="12" t="s">
        <v>3</v>
      </c>
      <c r="E783" s="12" t="s">
        <v>4</v>
      </c>
      <c r="F783" s="12" t="s">
        <v>5</v>
      </c>
      <c r="G783" s="13" t="s">
        <v>6</v>
      </c>
    </row>
    <row r="784" spans="2:8" ht="12.75">
      <c r="B784" s="14" t="s">
        <v>37</v>
      </c>
      <c r="C784" s="15">
        <v>43786</v>
      </c>
      <c r="D784" s="16" t="s">
        <v>41</v>
      </c>
      <c r="E784" s="34">
        <v>100</v>
      </c>
      <c r="F784" s="18" t="s">
        <v>9</v>
      </c>
      <c r="G784" s="19">
        <v>4</v>
      </c>
      <c r="H784" s="35">
        <v>29.43</v>
      </c>
    </row>
    <row r="785" spans="2:8" ht="12.75">
      <c r="B785" s="20" t="s">
        <v>39</v>
      </c>
      <c r="C785" s="21"/>
      <c r="D785" s="22" t="s">
        <v>194</v>
      </c>
      <c r="E785" s="36">
        <f>2943/48.81</f>
        <v>60.29502151198525</v>
      </c>
      <c r="F785" s="33" t="s">
        <v>12</v>
      </c>
      <c r="G785" s="25"/>
      <c r="H785" s="37">
        <v>48.81</v>
      </c>
    </row>
    <row r="786" spans="2:8" ht="12.75">
      <c r="B786" s="20"/>
      <c r="C786" s="21"/>
      <c r="D786" s="22" t="s">
        <v>43</v>
      </c>
      <c r="E786" s="36">
        <f>2943/83.82</f>
        <v>35.1109520400859</v>
      </c>
      <c r="F786" s="33" t="s">
        <v>14</v>
      </c>
      <c r="G786" s="25"/>
      <c r="H786" s="37">
        <v>83.82</v>
      </c>
    </row>
    <row r="787" spans="2:8" ht="12.75">
      <c r="B787" s="20"/>
      <c r="C787" s="21"/>
      <c r="D787" s="22" t="s">
        <v>42</v>
      </c>
      <c r="E787" s="36">
        <f>2973/117.39</f>
        <v>25.32583695374393</v>
      </c>
      <c r="F787" s="26" t="s">
        <v>16</v>
      </c>
      <c r="G787" s="25"/>
      <c r="H787" s="37">
        <v>117.39</v>
      </c>
    </row>
    <row r="788" spans="2:8" ht="12.75">
      <c r="B788" s="14" t="s">
        <v>37</v>
      </c>
      <c r="C788" s="15">
        <v>43786</v>
      </c>
      <c r="D788" s="16" t="s">
        <v>178</v>
      </c>
      <c r="E788" s="34">
        <v>100</v>
      </c>
      <c r="F788" s="18" t="s">
        <v>9</v>
      </c>
      <c r="G788" s="19">
        <v>3</v>
      </c>
      <c r="H788" s="35">
        <v>82.58</v>
      </c>
    </row>
    <row r="789" spans="2:8" ht="12.75">
      <c r="B789" s="20" t="s">
        <v>45</v>
      </c>
      <c r="C789" s="21"/>
      <c r="D789" s="22" t="s">
        <v>74</v>
      </c>
      <c r="E789" s="36">
        <f>8258/96.09</f>
        <v>85.94026433551878</v>
      </c>
      <c r="F789" s="33" t="s">
        <v>12</v>
      </c>
      <c r="G789" s="25"/>
      <c r="H789" s="37">
        <v>96.09</v>
      </c>
    </row>
    <row r="790" spans="2:8" ht="12.75">
      <c r="B790" s="27"/>
      <c r="C790" s="28"/>
      <c r="D790" s="29" t="s">
        <v>8</v>
      </c>
      <c r="E790" s="38">
        <f>8258/104.52</f>
        <v>79.00880214313051</v>
      </c>
      <c r="F790" s="31" t="s">
        <v>14</v>
      </c>
      <c r="G790" s="32"/>
      <c r="H790" s="39">
        <v>104.52</v>
      </c>
    </row>
    <row r="791" spans="2:8" ht="12.75">
      <c r="B791" s="14" t="s">
        <v>37</v>
      </c>
      <c r="C791" s="15">
        <v>43786</v>
      </c>
      <c r="D791" s="16" t="s">
        <v>72</v>
      </c>
      <c r="E791" s="34">
        <v>100</v>
      </c>
      <c r="F791" s="18" t="s">
        <v>9</v>
      </c>
      <c r="G791" s="19">
        <v>1</v>
      </c>
      <c r="H791" s="35">
        <v>101.78</v>
      </c>
    </row>
    <row r="792" spans="2:8" ht="12.75">
      <c r="B792" s="27" t="s">
        <v>53</v>
      </c>
      <c r="C792" s="28"/>
      <c r="D792" s="29"/>
      <c r="E792" s="38"/>
      <c r="F792" s="31"/>
      <c r="G792" s="32"/>
      <c r="H792" s="39"/>
    </row>
    <row r="793" spans="2:7" ht="12.75">
      <c r="B793" s="10" t="s">
        <v>1</v>
      </c>
      <c r="C793" s="11" t="s">
        <v>2</v>
      </c>
      <c r="D793" s="12" t="s">
        <v>3</v>
      </c>
      <c r="E793" s="12" t="s">
        <v>4</v>
      </c>
      <c r="F793" s="12" t="s">
        <v>5</v>
      </c>
      <c r="G793" s="13" t="s">
        <v>6</v>
      </c>
    </row>
    <row r="794" spans="2:7" ht="12.75">
      <c r="B794" s="14" t="s">
        <v>7</v>
      </c>
      <c r="C794" s="15">
        <v>43792</v>
      </c>
      <c r="D794" s="16" t="s">
        <v>8</v>
      </c>
      <c r="E794" s="17">
        <v>46</v>
      </c>
      <c r="F794" s="18" t="s">
        <v>9</v>
      </c>
      <c r="G794" s="19">
        <v>5</v>
      </c>
    </row>
    <row r="795" spans="2:7" ht="12.75">
      <c r="B795" s="20" t="s">
        <v>10</v>
      </c>
      <c r="C795" s="21"/>
      <c r="D795" s="22" t="s">
        <v>15</v>
      </c>
      <c r="E795" s="23">
        <v>32</v>
      </c>
      <c r="F795" s="24" t="s">
        <v>12</v>
      </c>
      <c r="G795" s="25"/>
    </row>
    <row r="796" spans="2:7" ht="12.75">
      <c r="B796" s="20"/>
      <c r="C796" s="21"/>
      <c r="D796" s="22" t="s">
        <v>41</v>
      </c>
      <c r="E796" s="23">
        <v>31</v>
      </c>
      <c r="F796" s="33" t="s">
        <v>14</v>
      </c>
      <c r="G796" s="25"/>
    </row>
    <row r="797" spans="2:7" ht="12.75">
      <c r="B797" s="20"/>
      <c r="C797" s="21"/>
      <c r="D797" s="22" t="s">
        <v>11</v>
      </c>
      <c r="E797" s="23">
        <v>15</v>
      </c>
      <c r="F797" s="26" t="s">
        <v>16</v>
      </c>
      <c r="G797" s="25"/>
    </row>
    <row r="798" spans="2:7" ht="12.75">
      <c r="B798" s="27"/>
      <c r="C798" s="28"/>
      <c r="D798" s="29" t="s">
        <v>19</v>
      </c>
      <c r="E798" s="30">
        <v>3</v>
      </c>
      <c r="F798" s="31" t="s">
        <v>18</v>
      </c>
      <c r="G798" s="32"/>
    </row>
    <row r="799" spans="2:7" ht="12.75">
      <c r="B799" s="14" t="s">
        <v>7</v>
      </c>
      <c r="C799" s="15">
        <v>43792</v>
      </c>
      <c r="D799" s="16" t="s">
        <v>41</v>
      </c>
      <c r="E799" s="17">
        <v>41</v>
      </c>
      <c r="F799" s="18" t="s">
        <v>9</v>
      </c>
      <c r="G799" s="19">
        <v>7</v>
      </c>
    </row>
    <row r="800" spans="2:7" ht="12.75">
      <c r="B800" s="20" t="s">
        <v>24</v>
      </c>
      <c r="C800" s="21"/>
      <c r="D800" s="22" t="s">
        <v>8</v>
      </c>
      <c r="E800" s="23">
        <v>39</v>
      </c>
      <c r="F800" s="24" t="s">
        <v>12</v>
      </c>
      <c r="G800" s="25"/>
    </row>
    <row r="801" spans="2:7" ht="12.75">
      <c r="B801" s="20"/>
      <c r="C801" s="21"/>
      <c r="D801" s="22" t="s">
        <v>15</v>
      </c>
      <c r="E801" s="23">
        <v>35</v>
      </c>
      <c r="F801" s="24" t="s">
        <v>14</v>
      </c>
      <c r="G801" s="25"/>
    </row>
    <row r="802" spans="2:7" ht="12.75">
      <c r="B802" s="20"/>
      <c r="C802" s="21"/>
      <c r="D802" s="22" t="s">
        <v>25</v>
      </c>
      <c r="E802" s="23">
        <v>35</v>
      </c>
      <c r="F802" s="26" t="s">
        <v>16</v>
      </c>
      <c r="G802" s="25"/>
    </row>
    <row r="803" spans="2:7" ht="12.75">
      <c r="B803" s="20"/>
      <c r="C803" s="21"/>
      <c r="D803" s="22" t="s">
        <v>26</v>
      </c>
      <c r="E803" s="23">
        <v>31</v>
      </c>
      <c r="F803" s="26" t="s">
        <v>18</v>
      </c>
      <c r="G803" s="25"/>
    </row>
    <row r="804" spans="2:7" ht="12.75">
      <c r="B804" s="20"/>
      <c r="C804" s="21"/>
      <c r="D804" s="22" t="s">
        <v>11</v>
      </c>
      <c r="E804" s="23">
        <v>27</v>
      </c>
      <c r="F804" s="26" t="s">
        <v>20</v>
      </c>
      <c r="G804" s="25"/>
    </row>
    <row r="805" spans="2:7" ht="12.75">
      <c r="B805" s="27"/>
      <c r="C805" s="28"/>
      <c r="D805" s="29" t="s">
        <v>19</v>
      </c>
      <c r="E805" s="30">
        <v>21</v>
      </c>
      <c r="F805" s="31" t="s">
        <v>22</v>
      </c>
      <c r="G805" s="32"/>
    </row>
    <row r="806" spans="2:7" ht="12.75">
      <c r="B806" s="10" t="s">
        <v>1</v>
      </c>
      <c r="C806" s="11" t="s">
        <v>2</v>
      </c>
      <c r="D806" s="12" t="s">
        <v>3</v>
      </c>
      <c r="E806" s="12" t="s">
        <v>4</v>
      </c>
      <c r="F806" s="12" t="s">
        <v>5</v>
      </c>
      <c r="G806" s="13" t="s">
        <v>6</v>
      </c>
    </row>
    <row r="807" spans="2:7" ht="12.75">
      <c r="B807" s="14" t="s">
        <v>73</v>
      </c>
      <c r="C807" s="15">
        <v>43799</v>
      </c>
      <c r="D807" s="16" t="s">
        <v>41</v>
      </c>
      <c r="E807" s="17">
        <v>156</v>
      </c>
      <c r="F807" s="18" t="s">
        <v>9</v>
      </c>
      <c r="G807" s="19">
        <v>7</v>
      </c>
    </row>
    <row r="808" spans="2:7" ht="12.75">
      <c r="B808" s="20"/>
      <c r="C808" s="21"/>
      <c r="D808" s="40" t="s">
        <v>175</v>
      </c>
      <c r="E808" s="41">
        <v>146</v>
      </c>
      <c r="F808" s="24" t="s">
        <v>12</v>
      </c>
      <c r="G808" s="25"/>
    </row>
    <row r="809" spans="2:7" ht="12.75">
      <c r="B809" s="20"/>
      <c r="C809" s="21"/>
      <c r="D809" s="22" t="s">
        <v>8</v>
      </c>
      <c r="E809" s="42">
        <v>137</v>
      </c>
      <c r="F809" s="24" t="s">
        <v>14</v>
      </c>
      <c r="G809" s="25"/>
    </row>
    <row r="810" spans="2:7" ht="12.75">
      <c r="B810" s="20"/>
      <c r="C810" s="21"/>
      <c r="D810" s="22" t="s">
        <v>43</v>
      </c>
      <c r="E810" s="42">
        <v>123</v>
      </c>
      <c r="F810" s="33" t="s">
        <v>16</v>
      </c>
      <c r="G810" s="25"/>
    </row>
    <row r="811" spans="2:7" ht="12.75">
      <c r="B811" s="20"/>
      <c r="C811" s="21"/>
      <c r="D811" s="22" t="s">
        <v>52</v>
      </c>
      <c r="E811" s="42">
        <v>85</v>
      </c>
      <c r="F811" s="33" t="s">
        <v>18</v>
      </c>
      <c r="G811" s="25"/>
    </row>
    <row r="812" spans="2:7" ht="12.75">
      <c r="B812" s="20"/>
      <c r="C812" s="21"/>
      <c r="D812" s="22" t="s">
        <v>70</v>
      </c>
      <c r="E812" s="42">
        <v>57</v>
      </c>
      <c r="F812" s="33" t="s">
        <v>20</v>
      </c>
      <c r="G812" s="25"/>
    </row>
    <row r="813" spans="2:7" ht="12.75">
      <c r="B813" s="20"/>
      <c r="C813" s="45"/>
      <c r="D813" s="22" t="s">
        <v>61</v>
      </c>
      <c r="E813" s="42">
        <v>48</v>
      </c>
      <c r="F813" s="33" t="s">
        <v>22</v>
      </c>
      <c r="G813" s="25"/>
    </row>
    <row r="814" spans="2:7" ht="12.75">
      <c r="B814" s="14" t="s">
        <v>73</v>
      </c>
      <c r="C814" s="15">
        <v>43799</v>
      </c>
      <c r="D814" s="16" t="s">
        <v>54</v>
      </c>
      <c r="E814" s="17">
        <v>23</v>
      </c>
      <c r="F814" s="18" t="s">
        <v>9</v>
      </c>
      <c r="G814" s="19">
        <v>1</v>
      </c>
    </row>
    <row r="815" spans="2:7" ht="12.75">
      <c r="B815" s="27" t="s">
        <v>71</v>
      </c>
      <c r="C815" s="28"/>
      <c r="D815" s="29"/>
      <c r="E815" s="30"/>
      <c r="F815" s="31"/>
      <c r="G815" s="32"/>
    </row>
    <row r="816" spans="2:7" ht="12.75">
      <c r="B816" s="10" t="s">
        <v>1</v>
      </c>
      <c r="C816" s="11" t="s">
        <v>2</v>
      </c>
      <c r="D816" s="12" t="s">
        <v>3</v>
      </c>
      <c r="E816" s="12" t="s">
        <v>4</v>
      </c>
      <c r="F816" s="12" t="s">
        <v>5</v>
      </c>
      <c r="G816" s="13" t="s">
        <v>6</v>
      </c>
    </row>
    <row r="817" spans="2:8" ht="12.75">
      <c r="B817" s="14" t="s">
        <v>81</v>
      </c>
      <c r="C817" s="15">
        <v>43800</v>
      </c>
      <c r="D817" s="16" t="s">
        <v>175</v>
      </c>
      <c r="E817" s="34">
        <v>100</v>
      </c>
      <c r="F817" s="18" t="s">
        <v>9</v>
      </c>
      <c r="G817" s="19">
        <v>8</v>
      </c>
      <c r="H817" s="35">
        <v>21.35</v>
      </c>
    </row>
    <row r="818" spans="2:8" ht="12.75">
      <c r="B818" s="20" t="s">
        <v>82</v>
      </c>
      <c r="C818" s="21"/>
      <c r="D818" s="22" t="s">
        <v>44</v>
      </c>
      <c r="E818" s="36">
        <f>2135/30.76</f>
        <v>69.40832249674902</v>
      </c>
      <c r="F818" s="24" t="s">
        <v>12</v>
      </c>
      <c r="G818" s="25"/>
      <c r="H818" s="37">
        <v>30.76</v>
      </c>
    </row>
    <row r="819" spans="2:8" ht="12.75">
      <c r="B819" s="20"/>
      <c r="C819" s="21"/>
      <c r="D819" s="22" t="s">
        <v>41</v>
      </c>
      <c r="E819" s="36">
        <f>2135/47.26</f>
        <v>45.17562420651714</v>
      </c>
      <c r="F819" s="24" t="s">
        <v>14</v>
      </c>
      <c r="G819" s="25"/>
      <c r="H819" s="37">
        <v>47.26</v>
      </c>
    </row>
    <row r="820" spans="2:8" ht="12.75">
      <c r="B820" s="20"/>
      <c r="C820" s="21"/>
      <c r="D820" s="22" t="s">
        <v>43</v>
      </c>
      <c r="E820" s="36">
        <f>2135/63.08</f>
        <v>33.84590995561192</v>
      </c>
      <c r="F820" s="26" t="s">
        <v>16</v>
      </c>
      <c r="G820" s="25"/>
      <c r="H820" s="37">
        <v>63.08</v>
      </c>
    </row>
    <row r="821" spans="2:8" ht="12.75">
      <c r="B821" s="20"/>
      <c r="C821" s="21"/>
      <c r="D821" s="22" t="s">
        <v>19</v>
      </c>
      <c r="E821" s="36">
        <f>2135/71.18</f>
        <v>29.994380443944927</v>
      </c>
      <c r="F821" s="26" t="s">
        <v>18</v>
      </c>
      <c r="G821" s="25"/>
      <c r="H821" s="37">
        <v>71.18</v>
      </c>
    </row>
    <row r="822" spans="2:8" ht="12.75">
      <c r="B822" s="20"/>
      <c r="C822" s="21"/>
      <c r="D822" s="22" t="s">
        <v>52</v>
      </c>
      <c r="E822" s="36">
        <f>2135/80.06</f>
        <v>26.6674993754684</v>
      </c>
      <c r="F822" s="26" t="s">
        <v>20</v>
      </c>
      <c r="G822" s="25"/>
      <c r="H822" s="37">
        <v>80.06</v>
      </c>
    </row>
    <row r="823" spans="2:8" ht="12.75">
      <c r="B823" s="20"/>
      <c r="C823" s="21"/>
      <c r="D823" s="22" t="s">
        <v>46</v>
      </c>
      <c r="E823" s="36">
        <f>2135/83.45</f>
        <v>25.584182144997005</v>
      </c>
      <c r="F823" s="26" t="s">
        <v>22</v>
      </c>
      <c r="G823" s="25"/>
      <c r="H823" s="37">
        <v>83.45</v>
      </c>
    </row>
    <row r="824" spans="2:8" ht="12.75">
      <c r="B824" s="27"/>
      <c r="C824" s="28"/>
      <c r="D824" s="29" t="s">
        <v>61</v>
      </c>
      <c r="E824" s="38">
        <f>2135/113.26</f>
        <v>18.850432632880096</v>
      </c>
      <c r="F824" s="26" t="s">
        <v>50</v>
      </c>
      <c r="G824" s="32"/>
      <c r="H824" s="39">
        <v>113.26</v>
      </c>
    </row>
    <row r="825" spans="2:8" ht="12.75">
      <c r="B825" s="14" t="s">
        <v>81</v>
      </c>
      <c r="C825" s="15">
        <v>43800</v>
      </c>
      <c r="D825" s="16" t="s">
        <v>46</v>
      </c>
      <c r="E825" s="34">
        <v>100</v>
      </c>
      <c r="F825" s="18" t="s">
        <v>9</v>
      </c>
      <c r="G825" s="19">
        <v>5</v>
      </c>
      <c r="H825" s="37">
        <v>107.67</v>
      </c>
    </row>
    <row r="826" spans="2:8" ht="12.75">
      <c r="B826" s="20" t="s">
        <v>84</v>
      </c>
      <c r="C826" s="21"/>
      <c r="D826" s="22" t="s">
        <v>19</v>
      </c>
      <c r="E826" s="36">
        <f>10767/120.41</f>
        <v>89.41948343160867</v>
      </c>
      <c r="F826" s="24" t="s">
        <v>12</v>
      </c>
      <c r="G826" s="25"/>
      <c r="H826" s="37">
        <v>120.41</v>
      </c>
    </row>
    <row r="827" spans="2:8" ht="12.75">
      <c r="B827" s="20"/>
      <c r="C827" s="21"/>
      <c r="D827" s="22" t="s">
        <v>41</v>
      </c>
      <c r="E827" s="36">
        <f>10767/121.92</f>
        <v>88.31200787401575</v>
      </c>
      <c r="F827" s="26" t="s">
        <v>14</v>
      </c>
      <c r="G827" s="25"/>
      <c r="H827" s="37">
        <v>121.92</v>
      </c>
    </row>
    <row r="828" spans="2:8" ht="12.75">
      <c r="B828" s="20"/>
      <c r="C828" s="21"/>
      <c r="D828" s="22" t="s">
        <v>175</v>
      </c>
      <c r="E828" s="36">
        <f>10767/141.51</f>
        <v>76.08649565401738</v>
      </c>
      <c r="F828" s="26" t="s">
        <v>16</v>
      </c>
      <c r="G828" s="25"/>
      <c r="H828" s="37">
        <v>141.51</v>
      </c>
    </row>
    <row r="829" spans="2:8" ht="12.75">
      <c r="B829" s="27"/>
      <c r="C829" s="28"/>
      <c r="D829" s="29" t="s">
        <v>52</v>
      </c>
      <c r="E829" s="38">
        <f>10767/242.8</f>
        <v>44.345140032948926</v>
      </c>
      <c r="F829" s="31" t="s">
        <v>18</v>
      </c>
      <c r="G829" s="32"/>
      <c r="H829" s="39">
        <v>242.8</v>
      </c>
    </row>
  </sheetData>
  <sheetProtection selectLockedCells="1" selectUnlockedCells="1"/>
  <mergeCells count="1">
    <mergeCell ref="B2:G2"/>
  </mergeCells>
  <printOptions/>
  <pageMargins left="0.43333333333333335" right="0.19652777777777777" top="0.2361111111111111" bottom="0.27569444444444446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1"/>
  <sheetViews>
    <sheetView zoomScale="78" zoomScaleNormal="78" workbookViewId="0" topLeftCell="A1">
      <selection activeCell="B2" sqref="B2"/>
    </sheetView>
  </sheetViews>
  <sheetFormatPr defaultColWidth="11.421875" defaultRowHeight="12.75"/>
  <cols>
    <col min="1" max="1" width="5.00390625" style="1" customWidth="1"/>
    <col min="2" max="2" width="43.421875" style="0" customWidth="1"/>
    <col min="3" max="5" width="10.7109375" style="0" customWidth="1"/>
    <col min="6" max="6" width="10.57421875" style="0" customWidth="1"/>
    <col min="7" max="9" width="12.421875" style="0" customWidth="1"/>
    <col min="10" max="11" width="10.57421875" style="0" customWidth="1"/>
    <col min="12" max="12" width="12.421875" style="0" customWidth="1"/>
    <col min="13" max="13" width="14.28125" style="0" customWidth="1"/>
    <col min="14" max="14" width="2.8515625" style="0" customWidth="1"/>
    <col min="15" max="15" width="38.421875" style="0" customWidth="1"/>
    <col min="17" max="17" width="21.00390625" style="0" customWidth="1"/>
  </cols>
  <sheetData>
    <row r="1" ht="12.75">
      <c r="A1" s="92" t="e">
        <f>AVERAGE(LARGE(E3:M3,1),LARGE(E3:M3,2),LARGE(E3:M3,3),LARGE(E3:M3,4))</f>
        <v>#VALUE!</v>
      </c>
    </row>
    <row r="2" spans="1:13" ht="12.75">
      <c r="A2" s="93"/>
      <c r="B2" s="94" t="s">
        <v>211</v>
      </c>
      <c r="C2" s="94"/>
      <c r="D2" s="94"/>
      <c r="E2" s="94"/>
      <c r="F2" s="94"/>
      <c r="G2" s="94"/>
      <c r="H2" s="95"/>
      <c r="I2" s="95"/>
      <c r="J2" s="95"/>
      <c r="K2" s="95"/>
      <c r="L2" s="95"/>
      <c r="M2" s="95"/>
    </row>
    <row r="3" spans="1:13" ht="27" customHeight="1">
      <c r="A3" s="93"/>
      <c r="B3" s="6">
        <f>'Todas las Pruebas 2019'!B3</f>
        <v>43800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27" customHeight="1">
      <c r="A4" s="93"/>
      <c r="B4" s="6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27" customHeight="1">
      <c r="A5" s="96"/>
      <c r="B5" s="97" t="s">
        <v>212</v>
      </c>
      <c r="C5" s="97"/>
      <c r="D5" s="97"/>
      <c r="E5" s="98" t="s">
        <v>213</v>
      </c>
      <c r="F5" s="98"/>
      <c r="G5" s="98"/>
      <c r="H5" s="98"/>
      <c r="I5" s="99"/>
      <c r="J5" s="95"/>
      <c r="K5" s="95"/>
      <c r="L5" s="95"/>
      <c r="M5" s="95"/>
    </row>
    <row r="6" spans="1:13" ht="27" customHeight="1">
      <c r="A6" s="100"/>
      <c r="B6" s="101"/>
      <c r="C6" s="102">
        <v>1</v>
      </c>
      <c r="D6" s="102">
        <v>2</v>
      </c>
      <c r="E6" s="102">
        <v>3</v>
      </c>
      <c r="F6" s="102">
        <v>4</v>
      </c>
      <c r="G6" s="102">
        <v>5</v>
      </c>
      <c r="H6" s="102">
        <v>6</v>
      </c>
      <c r="I6" s="102"/>
      <c r="J6" s="95"/>
      <c r="K6" s="95"/>
      <c r="L6" s="95"/>
      <c r="M6" s="95"/>
    </row>
    <row r="7" spans="1:13" ht="21" customHeight="1">
      <c r="A7" s="103"/>
      <c r="B7" s="104" t="s">
        <v>3</v>
      </c>
      <c r="C7" s="105">
        <v>43534</v>
      </c>
      <c r="D7" s="106">
        <v>43597</v>
      </c>
      <c r="E7" s="107">
        <v>43610</v>
      </c>
      <c r="F7" s="106">
        <v>43652</v>
      </c>
      <c r="G7" s="106">
        <v>43723</v>
      </c>
      <c r="H7" s="106">
        <v>43778</v>
      </c>
      <c r="I7" s="108" t="s">
        <v>214</v>
      </c>
      <c r="J7" s="95"/>
      <c r="K7" s="95"/>
      <c r="L7" s="95"/>
      <c r="M7" s="95"/>
    </row>
    <row r="8" spans="1:13" ht="24.75" customHeight="1">
      <c r="A8" s="103">
        <v>1</v>
      </c>
      <c r="B8" s="109" t="s">
        <v>34</v>
      </c>
      <c r="C8" s="110">
        <v>307</v>
      </c>
      <c r="D8" s="111"/>
      <c r="E8" s="112">
        <v>163</v>
      </c>
      <c r="F8" s="113"/>
      <c r="G8" s="112">
        <v>302</v>
      </c>
      <c r="H8" s="114">
        <v>325</v>
      </c>
      <c r="I8" s="115">
        <f>AVERAGE(LARGE(C8:H8,1),LARGE(C8:H8,2),LARGE(C8:H8,3))</f>
        <v>311.3333333333333</v>
      </c>
      <c r="J8" s="95"/>
      <c r="K8" s="95"/>
      <c r="L8" s="95"/>
      <c r="M8" s="95"/>
    </row>
    <row r="9" spans="1:13" ht="21" customHeight="1">
      <c r="A9" s="103">
        <v>2</v>
      </c>
      <c r="B9" s="116" t="s">
        <v>173</v>
      </c>
      <c r="C9" s="117"/>
      <c r="D9" s="118"/>
      <c r="E9" s="41">
        <v>43</v>
      </c>
      <c r="F9" s="119"/>
      <c r="G9" s="119"/>
      <c r="H9" s="120"/>
      <c r="I9" s="121" t="e">
        <f>AVERAGE(LARGE(C9:H9,1),LARGE(C9:H9,2),LARGE(C9:H9,3))</f>
        <v>#VALUE!</v>
      </c>
      <c r="J9" s="95"/>
      <c r="K9" s="95"/>
      <c r="L9" s="95"/>
      <c r="M9" s="95"/>
    </row>
    <row r="10" spans="1:13" ht="21" customHeight="1">
      <c r="A10" s="103">
        <v>3</v>
      </c>
      <c r="B10" s="116" t="s">
        <v>19</v>
      </c>
      <c r="C10" s="122"/>
      <c r="D10" s="118"/>
      <c r="E10" s="41">
        <v>97</v>
      </c>
      <c r="F10" s="119"/>
      <c r="G10" s="119"/>
      <c r="H10" s="120"/>
      <c r="I10" s="121" t="e">
        <f>AVERAGE(LARGE(C10:H10,1),LARGE(C10:H10,2),LARGE(C10:H10,3))</f>
        <v>#VALUE!</v>
      </c>
      <c r="J10" s="95"/>
      <c r="K10" s="95"/>
      <c r="L10" s="95"/>
      <c r="M10" s="95"/>
    </row>
    <row r="11" spans="1:13" ht="21" customHeight="1">
      <c r="A11" s="103">
        <v>4</v>
      </c>
      <c r="B11" s="123" t="s">
        <v>137</v>
      </c>
      <c r="C11" s="124"/>
      <c r="D11" s="118"/>
      <c r="E11" s="125"/>
      <c r="F11" s="119"/>
      <c r="G11" s="126">
        <v>172</v>
      </c>
      <c r="H11" s="120"/>
      <c r="I11" s="121"/>
      <c r="J11" s="95"/>
      <c r="K11" s="95"/>
      <c r="L11" s="95"/>
      <c r="M11" s="95"/>
    </row>
    <row r="12" spans="1:13" ht="21" customHeight="1">
      <c r="A12" s="103">
        <v>5</v>
      </c>
      <c r="B12" s="123" t="s">
        <v>31</v>
      </c>
      <c r="C12" s="124"/>
      <c r="D12" s="118"/>
      <c r="E12" s="42">
        <v>120</v>
      </c>
      <c r="F12" s="125"/>
      <c r="G12" s="125"/>
      <c r="H12" s="120"/>
      <c r="I12" s="121" t="e">
        <f>AVERAGE(LARGE(C12:H12,1),LARGE(C12:H12,2),LARGE(C12:H12,3))</f>
        <v>#VALUE!</v>
      </c>
      <c r="J12" s="95"/>
      <c r="K12" s="95"/>
      <c r="L12" s="95"/>
      <c r="M12" s="95"/>
    </row>
    <row r="13" spans="1:13" ht="21" customHeight="1">
      <c r="A13" s="103">
        <v>6</v>
      </c>
      <c r="B13" s="123" t="s">
        <v>172</v>
      </c>
      <c r="C13" s="124"/>
      <c r="D13" s="118"/>
      <c r="E13" s="127">
        <v>89</v>
      </c>
      <c r="F13" s="117"/>
      <c r="G13" s="119"/>
      <c r="H13" s="120"/>
      <c r="I13" s="121" t="e">
        <f>AVERAGE(LARGE(C13:H13,1),LARGE(C13:H13,2),LARGE(C13:H13,3))</f>
        <v>#VALUE!</v>
      </c>
      <c r="J13" s="95"/>
      <c r="K13" s="95"/>
      <c r="L13" s="95"/>
      <c r="M13" s="95"/>
    </row>
    <row r="14" spans="1:13" ht="21" customHeight="1">
      <c r="A14" s="103">
        <v>7</v>
      </c>
      <c r="B14" s="123" t="s">
        <v>153</v>
      </c>
      <c r="C14" s="124"/>
      <c r="D14" s="118"/>
      <c r="E14" s="42">
        <v>72</v>
      </c>
      <c r="F14" s="119"/>
      <c r="G14" s="119"/>
      <c r="H14" s="120"/>
      <c r="I14" s="121" t="e">
        <f>AVERAGE(LARGE(C14:H14,1),LARGE(C14:H14,2),LARGE(C14:H14,3))</f>
        <v>#VALUE!</v>
      </c>
      <c r="J14" s="95"/>
      <c r="K14" s="95"/>
      <c r="L14" s="95"/>
      <c r="M14" s="95"/>
    </row>
    <row r="15" spans="1:13" ht="21" customHeight="1">
      <c r="A15" s="103">
        <v>8</v>
      </c>
      <c r="B15" s="123" t="s">
        <v>215</v>
      </c>
      <c r="C15" s="124"/>
      <c r="D15" s="118"/>
      <c r="E15" s="119"/>
      <c r="F15" s="119"/>
      <c r="G15" s="126">
        <v>222</v>
      </c>
      <c r="H15" s="120"/>
      <c r="I15" s="121"/>
      <c r="J15" s="95"/>
      <c r="K15" s="95"/>
      <c r="L15" s="95"/>
      <c r="M15" s="95"/>
    </row>
    <row r="16" spans="1:13" ht="21" customHeight="1">
      <c r="A16" s="103">
        <v>9</v>
      </c>
      <c r="B16" s="128" t="s">
        <v>13</v>
      </c>
      <c r="C16" s="124"/>
      <c r="D16" s="118"/>
      <c r="E16" s="129">
        <v>159</v>
      </c>
      <c r="F16" s="119"/>
      <c r="G16" s="119"/>
      <c r="H16" s="120"/>
      <c r="I16" s="121" t="e">
        <f>AVERAGE(LARGE(C16:H16,1),LARGE(C16:H16,2),LARGE(C16:H16,3))</f>
        <v>#VALUE!</v>
      </c>
      <c r="J16" s="95"/>
      <c r="K16" s="95"/>
      <c r="L16" s="95"/>
      <c r="M16" s="95"/>
    </row>
    <row r="17" spans="1:13" ht="21" customHeight="1">
      <c r="A17" s="103">
        <v>10</v>
      </c>
      <c r="B17" s="128" t="s">
        <v>204</v>
      </c>
      <c r="C17" s="124"/>
      <c r="D17" s="118"/>
      <c r="E17" s="125"/>
      <c r="F17" s="119"/>
      <c r="G17" s="126">
        <v>200</v>
      </c>
      <c r="H17" s="120"/>
      <c r="I17" s="121"/>
      <c r="J17" s="95"/>
      <c r="K17" s="95"/>
      <c r="L17" s="95"/>
      <c r="M17" s="95"/>
    </row>
    <row r="18" spans="1:13" ht="21" customHeight="1">
      <c r="A18" s="103">
        <v>11</v>
      </c>
      <c r="B18" s="128" t="s">
        <v>85</v>
      </c>
      <c r="C18" s="124"/>
      <c r="D18" s="130"/>
      <c r="E18" s="129">
        <v>155</v>
      </c>
      <c r="F18" s="119"/>
      <c r="G18" s="119"/>
      <c r="H18" s="120"/>
      <c r="I18" s="121" t="e">
        <f>AVERAGE(LARGE(C18:H18,1),LARGE(C18:H18,2),LARGE(C18:H18,3))</f>
        <v>#VALUE!</v>
      </c>
      <c r="J18" s="95"/>
      <c r="K18" s="95"/>
      <c r="L18" s="95"/>
      <c r="M18" s="95"/>
    </row>
    <row r="19" spans="1:13" ht="21" customHeight="1">
      <c r="A19" s="103">
        <v>12</v>
      </c>
      <c r="B19" s="128" t="s">
        <v>36</v>
      </c>
      <c r="C19" s="131">
        <v>258</v>
      </c>
      <c r="D19" s="118"/>
      <c r="E19" s="119"/>
      <c r="F19" s="119"/>
      <c r="G19" s="119"/>
      <c r="H19" s="120"/>
      <c r="I19" s="121" t="e">
        <f>AVERAGE(LARGE(C19:H19,1),LARGE(C19:H19,2),LARGE(C19:H19,3))</f>
        <v>#VALUE!</v>
      </c>
      <c r="J19" s="95"/>
      <c r="K19" s="95"/>
      <c r="L19" s="95"/>
      <c r="M19" s="95"/>
    </row>
    <row r="20" spans="1:13" ht="21" customHeight="1">
      <c r="A20" s="103">
        <v>13</v>
      </c>
      <c r="B20" s="128" t="s">
        <v>202</v>
      </c>
      <c r="C20" s="124"/>
      <c r="D20" s="118"/>
      <c r="E20" s="125"/>
      <c r="F20" s="119"/>
      <c r="G20" s="126">
        <v>173</v>
      </c>
      <c r="H20" s="120"/>
      <c r="I20" s="121"/>
      <c r="J20" s="95"/>
      <c r="K20" s="95"/>
      <c r="L20" s="95"/>
      <c r="M20" s="95"/>
    </row>
    <row r="21" spans="1:13" ht="21" customHeight="1">
      <c r="A21" s="103">
        <v>14</v>
      </c>
      <c r="B21" s="123" t="s">
        <v>74</v>
      </c>
      <c r="C21" s="124"/>
      <c r="D21" s="118"/>
      <c r="E21" s="42">
        <v>136</v>
      </c>
      <c r="F21" s="119"/>
      <c r="G21" s="119"/>
      <c r="H21" s="120"/>
      <c r="I21" s="121"/>
      <c r="J21" s="95"/>
      <c r="K21" s="95"/>
      <c r="L21" s="95"/>
      <c r="M21" s="95"/>
    </row>
    <row r="22" spans="1:13" ht="21" customHeight="1">
      <c r="A22" s="103">
        <v>15</v>
      </c>
      <c r="B22" s="132" t="s">
        <v>40</v>
      </c>
      <c r="C22" s="133"/>
      <c r="D22" s="134"/>
      <c r="E22" s="135"/>
      <c r="F22" s="135"/>
      <c r="G22" s="135"/>
      <c r="H22" s="136">
        <v>288</v>
      </c>
      <c r="I22" s="137"/>
      <c r="J22" s="95"/>
      <c r="K22" s="95"/>
      <c r="L22" s="95"/>
      <c r="M22" s="95"/>
    </row>
    <row r="23" spans="1:13" ht="27" customHeight="1">
      <c r="A23" s="93"/>
      <c r="B23" s="6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</row>
    <row r="24" spans="1:13" ht="27" customHeight="1">
      <c r="A24" s="96"/>
      <c r="B24" s="97" t="s">
        <v>216</v>
      </c>
      <c r="C24" s="97"/>
      <c r="D24" s="97"/>
      <c r="E24" s="98" t="s">
        <v>213</v>
      </c>
      <c r="F24" s="98"/>
      <c r="G24" s="98"/>
      <c r="H24" s="98"/>
      <c r="I24" s="99"/>
      <c r="J24" s="95"/>
      <c r="K24" s="95"/>
      <c r="L24" s="95"/>
      <c r="M24" s="95"/>
    </row>
    <row r="25" spans="1:13" ht="21" customHeight="1">
      <c r="A25" s="100"/>
      <c r="B25" s="101"/>
      <c r="C25" s="102">
        <v>1</v>
      </c>
      <c r="D25" s="102">
        <v>2</v>
      </c>
      <c r="E25" s="102">
        <v>3</v>
      </c>
      <c r="F25" s="102">
        <v>4</v>
      </c>
      <c r="G25" s="102">
        <v>5</v>
      </c>
      <c r="H25" s="102">
        <v>6</v>
      </c>
      <c r="I25" s="102"/>
      <c r="J25" s="95"/>
      <c r="K25" s="95"/>
      <c r="L25" s="95"/>
      <c r="M25" s="95"/>
    </row>
    <row r="26" spans="1:13" ht="21" customHeight="1">
      <c r="A26" s="103"/>
      <c r="B26" s="104" t="s">
        <v>3</v>
      </c>
      <c r="C26" s="105">
        <v>43534</v>
      </c>
      <c r="D26" s="106">
        <v>43597</v>
      </c>
      <c r="E26" s="107">
        <v>43610</v>
      </c>
      <c r="F26" s="106">
        <v>43652</v>
      </c>
      <c r="G26" s="106">
        <v>43723</v>
      </c>
      <c r="H26" s="106">
        <v>43778</v>
      </c>
      <c r="I26" s="108" t="s">
        <v>214</v>
      </c>
      <c r="J26" s="95"/>
      <c r="K26" s="95"/>
      <c r="L26" s="95"/>
      <c r="M26" s="95"/>
    </row>
    <row r="27" spans="1:13" ht="25.5" customHeight="1">
      <c r="A27" s="103">
        <v>1</v>
      </c>
      <c r="B27" s="109" t="s">
        <v>28</v>
      </c>
      <c r="C27" s="138">
        <v>290</v>
      </c>
      <c r="D27" s="139"/>
      <c r="E27" s="140">
        <v>162</v>
      </c>
      <c r="F27" s="140">
        <v>328</v>
      </c>
      <c r="G27" s="138">
        <v>333</v>
      </c>
      <c r="H27" s="138">
        <v>329</v>
      </c>
      <c r="I27" s="141">
        <f>AVERAGE(LARGE(C27:H27,1),LARGE(C27:H27,2),LARGE(C27:H27,3))</f>
        <v>330</v>
      </c>
      <c r="J27" s="95"/>
      <c r="K27" s="95"/>
      <c r="L27" s="95"/>
      <c r="M27" s="95"/>
    </row>
    <row r="28" spans="1:13" ht="21" customHeight="1">
      <c r="A28" s="103">
        <v>2</v>
      </c>
      <c r="B28" s="128" t="s">
        <v>32</v>
      </c>
      <c r="C28" s="142">
        <v>257</v>
      </c>
      <c r="D28" s="143"/>
      <c r="E28" s="129">
        <v>145</v>
      </c>
      <c r="F28" s="144">
        <v>254</v>
      </c>
      <c r="G28" s="144">
        <v>288</v>
      </c>
      <c r="H28" s="144">
        <v>264</v>
      </c>
      <c r="I28" s="145">
        <f>AVERAGE(LARGE(C28:H28,1),LARGE(C28:H28,2),LARGE(C28:H28,3))</f>
        <v>269.6666666666667</v>
      </c>
      <c r="J28" s="95"/>
      <c r="K28" s="95"/>
      <c r="L28" s="95"/>
      <c r="M28" s="95"/>
    </row>
    <row r="29" spans="1:13" ht="21" customHeight="1">
      <c r="A29" s="103">
        <v>3</v>
      </c>
      <c r="B29" s="116" t="s">
        <v>19</v>
      </c>
      <c r="C29" s="146">
        <v>170</v>
      </c>
      <c r="D29" s="118"/>
      <c r="E29" s="126">
        <v>92</v>
      </c>
      <c r="F29" s="119"/>
      <c r="G29" s="119"/>
      <c r="H29" s="119"/>
      <c r="I29" s="121" t="e">
        <f>AVERAGE(LARGE(C29:H29,1),LARGE(C29:H29,2),LARGE(C29:H29,3))</f>
        <v>#VALUE!</v>
      </c>
      <c r="J29" s="95"/>
      <c r="K29" s="95"/>
      <c r="L29" s="95"/>
      <c r="M29" s="95"/>
    </row>
    <row r="30" spans="1:13" ht="21" customHeight="1">
      <c r="A30" s="103">
        <v>4</v>
      </c>
      <c r="B30" s="128" t="s">
        <v>217</v>
      </c>
      <c r="C30" s="124"/>
      <c r="D30" s="118"/>
      <c r="E30" s="126">
        <v>100</v>
      </c>
      <c r="F30" s="119"/>
      <c r="G30" s="119"/>
      <c r="H30" s="119"/>
      <c r="I30" s="121" t="e">
        <f>AVERAGE(LARGE(C30:H30,1),LARGE(C30:H30,2),LARGE(C30:H30,3))</f>
        <v>#VALUE!</v>
      </c>
      <c r="J30" s="95"/>
      <c r="K30" s="95"/>
      <c r="L30" s="95"/>
      <c r="M30" s="95"/>
    </row>
    <row r="31" spans="1:13" ht="21" customHeight="1">
      <c r="A31" s="103">
        <v>5</v>
      </c>
      <c r="B31" s="116" t="s">
        <v>31</v>
      </c>
      <c r="C31" s="146">
        <v>235</v>
      </c>
      <c r="D31" s="118"/>
      <c r="E31" s="117"/>
      <c r="F31" s="117"/>
      <c r="G31" s="119"/>
      <c r="H31" s="119"/>
      <c r="I31" s="121" t="e">
        <f>AVERAGE(LARGE(C31:H31,1),LARGE(C31:H31,2),LARGE(C31:H31,3))</f>
        <v>#VALUE!</v>
      </c>
      <c r="J31" s="95"/>
      <c r="K31" s="95"/>
      <c r="L31" s="95"/>
      <c r="M31" s="95"/>
    </row>
    <row r="32" spans="1:13" ht="21" customHeight="1">
      <c r="A32" s="103">
        <v>6</v>
      </c>
      <c r="B32" s="147" t="s">
        <v>23</v>
      </c>
      <c r="C32" s="148"/>
      <c r="D32" s="118"/>
      <c r="E32" s="126">
        <v>122</v>
      </c>
      <c r="F32" s="119"/>
      <c r="G32" s="119"/>
      <c r="H32" s="119"/>
      <c r="I32" s="121" t="e">
        <f>AVERAGE(LARGE(C32:H32,1),LARGE(C32:H32,2),LARGE(C32:H32,3))</f>
        <v>#VALUE!</v>
      </c>
      <c r="J32" s="95"/>
      <c r="K32" s="95"/>
      <c r="L32" s="95"/>
      <c r="M32" s="95"/>
    </row>
    <row r="33" spans="1:13" ht="21" customHeight="1">
      <c r="A33" s="103">
        <v>7</v>
      </c>
      <c r="B33" s="128" t="s">
        <v>218</v>
      </c>
      <c r="C33" s="124"/>
      <c r="D33" s="118"/>
      <c r="E33" s="126">
        <v>71</v>
      </c>
      <c r="F33" s="119"/>
      <c r="G33" s="119"/>
      <c r="H33" s="119"/>
      <c r="I33" s="121" t="e">
        <f>AVERAGE(LARGE(C33:H33,1),LARGE(C33:H33,2),LARGE(C33:H33,3))</f>
        <v>#VALUE!</v>
      </c>
      <c r="J33" s="95"/>
      <c r="K33" s="95"/>
      <c r="L33" s="95"/>
      <c r="M33" s="95"/>
    </row>
    <row r="34" spans="1:13" ht="21" customHeight="1">
      <c r="A34" s="103">
        <v>8</v>
      </c>
      <c r="B34" s="128" t="s">
        <v>46</v>
      </c>
      <c r="C34" s="124"/>
      <c r="D34" s="149"/>
      <c r="E34" s="126">
        <v>64</v>
      </c>
      <c r="F34" s="119"/>
      <c r="G34" s="150"/>
      <c r="H34" s="119"/>
      <c r="I34" s="121" t="e">
        <f>AVERAGE(LARGE(C34:H34,1),LARGE(C34:H34,2),LARGE(C34:H34,3))</f>
        <v>#VALUE!</v>
      </c>
      <c r="J34" s="95"/>
      <c r="K34" s="95"/>
      <c r="L34" s="95"/>
      <c r="M34" s="95"/>
    </row>
    <row r="35" spans="1:13" ht="21" customHeight="1">
      <c r="A35" s="103">
        <v>9</v>
      </c>
      <c r="B35" s="128" t="s">
        <v>13</v>
      </c>
      <c r="C35" s="124"/>
      <c r="D35" s="118"/>
      <c r="E35" s="126">
        <v>163</v>
      </c>
      <c r="F35" s="151">
        <v>338</v>
      </c>
      <c r="G35" s="119"/>
      <c r="H35" s="119"/>
      <c r="I35" s="121" t="e">
        <f>AVERAGE(LARGE(C35:H35,1),LARGE(C35:H35,2),LARGE(C35:H35,3))</f>
        <v>#VALUE!</v>
      </c>
      <c r="J35" s="95"/>
      <c r="K35" s="95"/>
      <c r="L35" s="95"/>
      <c r="M35" s="95"/>
    </row>
    <row r="36" spans="1:13" ht="21" customHeight="1">
      <c r="A36" s="103">
        <v>10</v>
      </c>
      <c r="B36" s="128" t="s">
        <v>85</v>
      </c>
      <c r="C36" s="124"/>
      <c r="D36" s="118"/>
      <c r="E36" s="152">
        <v>170</v>
      </c>
      <c r="F36" s="119"/>
      <c r="G36" s="119"/>
      <c r="H36" s="119"/>
      <c r="I36" s="121" t="e">
        <f>AVERAGE(LARGE(C36:H36,1),LARGE(C36:H36,2),LARGE(C36:H36,3))</f>
        <v>#VALUE!</v>
      </c>
      <c r="J36" s="95"/>
      <c r="K36" s="95"/>
      <c r="L36" s="95"/>
      <c r="M36" s="95"/>
    </row>
    <row r="37" spans="1:13" ht="21" customHeight="1">
      <c r="A37" s="103">
        <v>11</v>
      </c>
      <c r="B37" s="128" t="s">
        <v>171</v>
      </c>
      <c r="C37" s="124"/>
      <c r="D37" s="118"/>
      <c r="E37" s="126">
        <v>114</v>
      </c>
      <c r="F37" s="126">
        <v>234</v>
      </c>
      <c r="G37" s="119"/>
      <c r="H37" s="119"/>
      <c r="I37" s="121" t="e">
        <f>AVERAGE(LARGE(C37:H37,1),LARGE(C37:H37,2),LARGE(C37:H37,3))</f>
        <v>#VALUE!</v>
      </c>
      <c r="J37" s="95"/>
      <c r="K37" s="95"/>
      <c r="L37" s="95"/>
      <c r="M37" s="95"/>
    </row>
    <row r="38" spans="1:13" ht="21" customHeight="1">
      <c r="A38" s="103">
        <v>12</v>
      </c>
      <c r="B38" s="123" t="s">
        <v>30</v>
      </c>
      <c r="C38" s="153">
        <v>261</v>
      </c>
      <c r="D38" s="118"/>
      <c r="E38" s="119"/>
      <c r="F38" s="119"/>
      <c r="G38" s="119"/>
      <c r="H38" s="119"/>
      <c r="I38" s="121" t="e">
        <f>AVERAGE(LARGE(C38:H38,1),LARGE(C38:H38,2),LARGE(C38:H38,3))</f>
        <v>#VALUE!</v>
      </c>
      <c r="J38" s="95"/>
      <c r="K38" s="95"/>
      <c r="L38" s="95"/>
      <c r="M38" s="95"/>
    </row>
    <row r="39" spans="1:13" ht="21" customHeight="1">
      <c r="A39" s="103">
        <v>13</v>
      </c>
      <c r="B39" s="128" t="s">
        <v>134</v>
      </c>
      <c r="C39" s="124"/>
      <c r="D39" s="118"/>
      <c r="E39" s="126">
        <v>82</v>
      </c>
      <c r="F39" s="126">
        <v>245</v>
      </c>
      <c r="G39" s="119"/>
      <c r="H39" s="119"/>
      <c r="I39" s="121" t="e">
        <f>AVERAGE(LARGE(C39:H39,1),LARGE(C39:H39,2),LARGE(C39:H39,3))</f>
        <v>#VALUE!</v>
      </c>
      <c r="J39" s="95"/>
      <c r="K39" s="95"/>
      <c r="L39" s="95"/>
      <c r="M39" s="95"/>
    </row>
    <row r="40" spans="1:13" ht="21" customHeight="1">
      <c r="A40" s="103">
        <v>14</v>
      </c>
      <c r="B40" s="128" t="s">
        <v>202</v>
      </c>
      <c r="C40" s="124"/>
      <c r="D40" s="118"/>
      <c r="E40" s="119"/>
      <c r="F40" s="119"/>
      <c r="G40" s="126">
        <v>227</v>
      </c>
      <c r="H40" s="119"/>
      <c r="I40" s="121"/>
      <c r="J40" s="95"/>
      <c r="K40" s="95"/>
      <c r="L40" s="95"/>
      <c r="M40" s="95"/>
    </row>
    <row r="41" spans="1:13" ht="21" customHeight="1">
      <c r="A41" s="103">
        <v>15</v>
      </c>
      <c r="B41" s="128" t="s">
        <v>44</v>
      </c>
      <c r="C41" s="124"/>
      <c r="D41" s="118"/>
      <c r="E41" s="126">
        <v>152</v>
      </c>
      <c r="F41" s="119"/>
      <c r="G41" s="119"/>
      <c r="H41" s="119"/>
      <c r="I41" s="121" t="e">
        <f>AVERAGE(LARGE(C41:H41,1),LARGE(C41:H41,2),LARGE(C41:H41,3))</f>
        <v>#VALUE!</v>
      </c>
      <c r="J41" s="95"/>
      <c r="K41" s="95"/>
      <c r="L41" s="95"/>
      <c r="M41" s="95"/>
    </row>
    <row r="42" spans="1:13" ht="21" customHeight="1">
      <c r="A42" s="103">
        <v>16</v>
      </c>
      <c r="B42" s="154" t="s">
        <v>40</v>
      </c>
      <c r="C42" s="155"/>
      <c r="D42" s="118"/>
      <c r="E42" s="126">
        <v>156</v>
      </c>
      <c r="F42" s="119"/>
      <c r="G42" s="119"/>
      <c r="H42" s="126">
        <v>313</v>
      </c>
      <c r="I42" s="121" t="e">
        <f>AVERAGE(LARGE(C42:H42,1),LARGE(C42:H42,2),LARGE(C42:H42,3))</f>
        <v>#VALUE!</v>
      </c>
      <c r="J42" s="95"/>
      <c r="K42" s="95"/>
      <c r="L42" s="95"/>
      <c r="M42" s="95"/>
    </row>
    <row r="43" spans="1:13" ht="21" customHeight="1">
      <c r="A43" s="103">
        <v>17</v>
      </c>
      <c r="B43" s="132" t="s">
        <v>41</v>
      </c>
      <c r="C43" s="133"/>
      <c r="D43" s="134"/>
      <c r="E43" s="156">
        <v>71</v>
      </c>
      <c r="F43" s="135"/>
      <c r="G43" s="135"/>
      <c r="H43" s="135"/>
      <c r="I43" s="137" t="e">
        <f>AVERAGE(LARGE(C43:H43,1),LARGE(C43:H43,2),LARGE(C43:H43,3))</f>
        <v>#VALUE!</v>
      </c>
      <c r="J43" s="95"/>
      <c r="K43" s="95"/>
      <c r="L43" s="95"/>
      <c r="M43" s="95"/>
    </row>
    <row r="44" spans="1:13" ht="27" customHeight="1">
      <c r="A44" s="93"/>
      <c r="B44" s="6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1:13" ht="27" customHeight="1">
      <c r="A45" s="96"/>
      <c r="B45" s="97" t="s">
        <v>190</v>
      </c>
      <c r="C45" s="97"/>
      <c r="D45" s="97"/>
      <c r="E45" s="98" t="s">
        <v>213</v>
      </c>
      <c r="F45" s="98"/>
      <c r="G45" s="98"/>
      <c r="H45" s="98"/>
      <c r="I45" s="95"/>
      <c r="J45" s="95"/>
      <c r="K45" s="95"/>
      <c r="L45" s="95"/>
      <c r="M45" s="95"/>
    </row>
    <row r="46" spans="1:13" ht="21" customHeight="1">
      <c r="A46" s="96"/>
      <c r="B46" s="101"/>
      <c r="C46" s="102">
        <v>1</v>
      </c>
      <c r="D46" s="102">
        <v>2</v>
      </c>
      <c r="E46" s="102">
        <v>3</v>
      </c>
      <c r="F46" s="102">
        <v>4</v>
      </c>
      <c r="G46" s="102"/>
      <c r="H46" s="102"/>
      <c r="I46" s="95"/>
      <c r="J46" s="95"/>
      <c r="K46" s="95"/>
      <c r="L46" s="95"/>
      <c r="M46" s="95"/>
    </row>
    <row r="47" spans="1:13" ht="21" customHeight="1">
      <c r="A47" s="100"/>
      <c r="B47" s="104" t="s">
        <v>3</v>
      </c>
      <c r="C47" s="105">
        <v>43540</v>
      </c>
      <c r="D47" s="106">
        <v>43596</v>
      </c>
      <c r="E47" s="106">
        <v>43680</v>
      </c>
      <c r="F47" s="106">
        <v>43772</v>
      </c>
      <c r="G47" s="108" t="s">
        <v>214</v>
      </c>
      <c r="I47" s="95"/>
      <c r="J47" s="95"/>
      <c r="K47" s="95"/>
      <c r="L47" s="95"/>
      <c r="M47" s="95"/>
    </row>
    <row r="48" spans="1:13" ht="21" customHeight="1">
      <c r="A48" s="103">
        <v>1</v>
      </c>
      <c r="B48" s="157" t="s">
        <v>19</v>
      </c>
      <c r="C48" s="158"/>
      <c r="D48" s="159"/>
      <c r="E48" s="160"/>
      <c r="F48" s="161">
        <v>276</v>
      </c>
      <c r="G48" s="162" t="e">
        <f>AVERAGE(LARGE(C48:F48,1),LARGE(C48:F48,2),LARGE(C48:F48,3))</f>
        <v>#VALUE!</v>
      </c>
      <c r="I48" s="95"/>
      <c r="J48" s="95"/>
      <c r="K48" s="95"/>
      <c r="L48" s="95"/>
      <c r="M48" s="95"/>
    </row>
    <row r="49" spans="1:13" ht="21" customHeight="1">
      <c r="A49" s="103">
        <v>2</v>
      </c>
      <c r="B49" s="163" t="s">
        <v>175</v>
      </c>
      <c r="C49" s="164"/>
      <c r="D49" s="165"/>
      <c r="E49" s="166"/>
      <c r="F49" s="167">
        <v>348</v>
      </c>
      <c r="G49" s="121" t="e">
        <f>AVERAGE(LARGE(C49:F49,1),LARGE(C49:F49,2),LARGE(C49:F49,3))</f>
        <v>#VALUE!</v>
      </c>
      <c r="I49" s="95"/>
      <c r="J49" s="95"/>
      <c r="K49" s="95"/>
      <c r="L49" s="95"/>
      <c r="M49" s="95"/>
    </row>
    <row r="50" spans="1:13" ht="21" customHeight="1">
      <c r="A50" s="103">
        <v>3</v>
      </c>
      <c r="B50" s="163" t="s">
        <v>13</v>
      </c>
      <c r="C50" s="164"/>
      <c r="D50" s="165"/>
      <c r="E50" s="168">
        <v>531</v>
      </c>
      <c r="F50" s="166"/>
      <c r="G50" s="121" t="e">
        <f>AVERAGE(LARGE(C50:F50,1),LARGE(C50:F50,2),LARGE(C50:F50,3))</f>
        <v>#VALUE!</v>
      </c>
      <c r="I50" s="95"/>
      <c r="J50" s="95"/>
      <c r="K50" s="95"/>
      <c r="L50" s="95"/>
      <c r="M50" s="95"/>
    </row>
    <row r="51" spans="1:13" ht="21" customHeight="1">
      <c r="A51" s="103">
        <v>4</v>
      </c>
      <c r="B51" s="163" t="s">
        <v>40</v>
      </c>
      <c r="C51" s="164"/>
      <c r="D51" s="165"/>
      <c r="E51" s="41">
        <v>497</v>
      </c>
      <c r="F51" s="169">
        <v>515</v>
      </c>
      <c r="G51" s="170"/>
      <c r="I51" s="95"/>
      <c r="J51" s="95"/>
      <c r="K51" s="95"/>
      <c r="L51" s="95"/>
      <c r="M51" s="95"/>
    </row>
    <row r="52" spans="1:13" ht="21" customHeight="1">
      <c r="A52" s="103">
        <v>5</v>
      </c>
      <c r="B52" s="163" t="s">
        <v>28</v>
      </c>
      <c r="C52" s="164"/>
      <c r="D52" s="165"/>
      <c r="E52" s="41">
        <v>493</v>
      </c>
      <c r="F52" s="171">
        <v>514</v>
      </c>
      <c r="G52" s="170"/>
      <c r="I52" s="95"/>
      <c r="J52" s="95"/>
      <c r="K52" s="95"/>
      <c r="L52" s="95"/>
      <c r="M52" s="95"/>
    </row>
    <row r="53" spans="1:13" ht="21" customHeight="1">
      <c r="A53" s="103">
        <v>6</v>
      </c>
      <c r="B53" s="172" t="s">
        <v>41</v>
      </c>
      <c r="C53" s="173"/>
      <c r="D53" s="174"/>
      <c r="E53" s="175"/>
      <c r="F53" s="176">
        <v>405</v>
      </c>
      <c r="G53" s="137" t="e">
        <f>AVERAGE(LARGE(C53:F53,1),LARGE(C53:F53,2),LARGE(C53:F53,3))</f>
        <v>#VALUE!</v>
      </c>
      <c r="I53" s="95"/>
      <c r="J53" s="95"/>
      <c r="K53" s="95"/>
      <c r="L53" s="95"/>
      <c r="M53" s="95"/>
    </row>
    <row r="54" spans="1:13" ht="27" customHeight="1">
      <c r="A54" s="177"/>
      <c r="B54" s="177"/>
      <c r="C54" s="177"/>
      <c r="D54" s="177"/>
      <c r="E54" s="177"/>
      <c r="F54" s="177"/>
      <c r="G54" s="177"/>
      <c r="H54" s="177"/>
      <c r="I54" s="95"/>
      <c r="J54" s="95"/>
      <c r="K54" s="95"/>
      <c r="L54" s="95"/>
      <c r="M54" s="95"/>
    </row>
    <row r="55" spans="1:13" ht="27" customHeight="1">
      <c r="A55" s="96"/>
      <c r="B55" s="97" t="s">
        <v>219</v>
      </c>
      <c r="C55" s="97"/>
      <c r="D55" s="97"/>
      <c r="E55" s="98" t="s">
        <v>213</v>
      </c>
      <c r="F55" s="98"/>
      <c r="G55" s="98"/>
      <c r="H55" s="98"/>
      <c r="I55" s="95"/>
      <c r="J55" s="95"/>
      <c r="K55" s="95"/>
      <c r="L55" s="95"/>
      <c r="M55" s="95"/>
    </row>
    <row r="56" spans="1:13" ht="21" customHeight="1">
      <c r="A56" s="96"/>
      <c r="B56" s="101"/>
      <c r="C56" s="102">
        <v>1</v>
      </c>
      <c r="D56" s="102">
        <v>2</v>
      </c>
      <c r="E56" s="102">
        <v>3</v>
      </c>
      <c r="F56" s="102">
        <v>4</v>
      </c>
      <c r="G56" s="102"/>
      <c r="H56" s="102"/>
      <c r="I56" s="95"/>
      <c r="J56" s="95"/>
      <c r="K56" s="95"/>
      <c r="L56" s="95"/>
      <c r="M56" s="95"/>
    </row>
    <row r="57" spans="1:13" ht="21" customHeight="1">
      <c r="A57" s="100"/>
      <c r="B57" s="104" t="s">
        <v>3</v>
      </c>
      <c r="C57" s="105">
        <v>43562</v>
      </c>
      <c r="D57" s="106">
        <v>43646</v>
      </c>
      <c r="E57" s="106">
        <v>43694</v>
      </c>
      <c r="F57" s="106">
        <v>43734</v>
      </c>
      <c r="G57" s="108" t="s">
        <v>214</v>
      </c>
      <c r="I57" s="95"/>
      <c r="J57" s="95"/>
      <c r="K57" s="95"/>
      <c r="L57" s="95"/>
      <c r="M57" s="95"/>
    </row>
    <row r="58" spans="1:13" ht="21" customHeight="1">
      <c r="A58" s="103">
        <v>1</v>
      </c>
      <c r="B58" s="178" t="s">
        <v>13</v>
      </c>
      <c r="C58" s="164"/>
      <c r="D58" s="165"/>
      <c r="E58" s="179">
        <v>497</v>
      </c>
      <c r="F58" s="180">
        <v>488</v>
      </c>
      <c r="G58" s="181" t="e">
        <f>AVERAGE(LARGE(C58:F58,1),LARGE(C58:F58,2),LARGE(C58:F58,3))</f>
        <v>#VALUE!</v>
      </c>
      <c r="I58" s="95"/>
      <c r="J58" s="95"/>
      <c r="K58" s="95"/>
      <c r="L58" s="95"/>
      <c r="M58" s="95"/>
    </row>
    <row r="59" spans="1:13" ht="21" customHeight="1">
      <c r="A59" s="103">
        <v>2</v>
      </c>
      <c r="B59" s="128" t="s">
        <v>198</v>
      </c>
      <c r="C59" s="164"/>
      <c r="D59" s="165"/>
      <c r="E59" s="182">
        <v>521</v>
      </c>
      <c r="F59" s="166"/>
      <c r="G59" s="170"/>
      <c r="I59" s="95"/>
      <c r="J59" s="95"/>
      <c r="K59" s="95"/>
      <c r="L59" s="95"/>
      <c r="M59" s="95"/>
    </row>
    <row r="60" spans="1:13" ht="21" customHeight="1">
      <c r="A60" s="103">
        <v>3</v>
      </c>
      <c r="B60" s="123" t="s">
        <v>40</v>
      </c>
      <c r="C60" s="164"/>
      <c r="D60" s="165"/>
      <c r="E60" s="23">
        <v>470</v>
      </c>
      <c r="F60" s="166"/>
      <c r="G60" s="170"/>
      <c r="I60" s="95"/>
      <c r="J60" s="95"/>
      <c r="K60" s="95"/>
      <c r="L60" s="95"/>
      <c r="M60" s="95"/>
    </row>
    <row r="61" spans="1:13" ht="21" customHeight="1">
      <c r="A61" s="103">
        <v>4</v>
      </c>
      <c r="B61" s="116" t="s">
        <v>28</v>
      </c>
      <c r="C61" s="164"/>
      <c r="D61" s="165"/>
      <c r="E61" s="85">
        <v>504</v>
      </c>
      <c r="F61" s="169">
        <v>498</v>
      </c>
      <c r="G61" s="121" t="e">
        <f>AVERAGE(LARGE(C61:F61,1),LARGE(C61:F61,2),LARGE(C61:F61,3))</f>
        <v>#VALUE!</v>
      </c>
      <c r="I61" s="95"/>
      <c r="J61" s="95"/>
      <c r="K61" s="95"/>
      <c r="L61" s="95"/>
      <c r="M61" s="95"/>
    </row>
    <row r="62" spans="1:13" ht="21" customHeight="1">
      <c r="A62" s="103">
        <v>5</v>
      </c>
      <c r="B62" s="172" t="s">
        <v>41</v>
      </c>
      <c r="C62" s="173"/>
      <c r="D62" s="174"/>
      <c r="E62" s="175"/>
      <c r="F62" s="176">
        <v>449</v>
      </c>
      <c r="G62" s="137" t="e">
        <f>AVERAGE(LARGE(C62:F62,1),LARGE(C62:F62,2),LARGE(C62:F62,3))</f>
        <v>#VALUE!</v>
      </c>
      <c r="I62" s="95"/>
      <c r="J62" s="95"/>
      <c r="K62" s="95"/>
      <c r="L62" s="95"/>
      <c r="M62" s="95"/>
    </row>
    <row r="63" spans="1:13" ht="27" customHeight="1">
      <c r="A63" s="93"/>
      <c r="B63" s="6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27" customHeight="1">
      <c r="A64" s="96"/>
      <c r="B64" s="97" t="s">
        <v>220</v>
      </c>
      <c r="C64" s="97"/>
      <c r="D64" s="97"/>
      <c r="E64" s="98" t="s">
        <v>221</v>
      </c>
      <c r="F64" s="98"/>
      <c r="G64" s="98"/>
      <c r="H64" s="98"/>
      <c r="I64" s="99"/>
      <c r="J64" s="99"/>
      <c r="K64" s="95"/>
      <c r="L64" s="95"/>
      <c r="M64" s="95"/>
    </row>
    <row r="65" spans="1:14" ht="18.75" customHeight="1">
      <c r="A65" s="96"/>
      <c r="B65" s="101"/>
      <c r="C65" s="102">
        <v>1</v>
      </c>
      <c r="D65" s="102">
        <v>2</v>
      </c>
      <c r="E65" s="102">
        <v>3</v>
      </c>
      <c r="F65" s="102">
        <v>4</v>
      </c>
      <c r="G65" s="102">
        <v>5</v>
      </c>
      <c r="H65" s="102">
        <v>6</v>
      </c>
      <c r="I65" s="102">
        <v>7</v>
      </c>
      <c r="J65" s="102">
        <v>8</v>
      </c>
      <c r="K65" s="102">
        <v>9</v>
      </c>
      <c r="L65" s="95"/>
      <c r="M65" s="95"/>
      <c r="N65" s="102"/>
    </row>
    <row r="66" spans="1:13" ht="18.75" customHeight="1">
      <c r="A66" s="100"/>
      <c r="B66" s="104" t="s">
        <v>3</v>
      </c>
      <c r="C66" s="105">
        <v>43547</v>
      </c>
      <c r="D66" s="106">
        <v>43562</v>
      </c>
      <c r="E66" s="106">
        <v>43596</v>
      </c>
      <c r="F66" s="106">
        <v>43625</v>
      </c>
      <c r="G66" s="106">
        <v>43666</v>
      </c>
      <c r="H66" s="106">
        <v>43681</v>
      </c>
      <c r="I66" s="106">
        <v>43722</v>
      </c>
      <c r="J66" s="183">
        <v>43750</v>
      </c>
      <c r="K66" s="106">
        <v>43778</v>
      </c>
      <c r="L66" s="108" t="s">
        <v>214</v>
      </c>
      <c r="M66" s="95"/>
    </row>
    <row r="67" spans="1:13" ht="21" customHeight="1">
      <c r="A67" s="103">
        <v>1</v>
      </c>
      <c r="B67" s="109" t="s">
        <v>41</v>
      </c>
      <c r="C67" s="184">
        <v>94</v>
      </c>
      <c r="D67" s="185">
        <v>96</v>
      </c>
      <c r="E67" s="180">
        <v>72</v>
      </c>
      <c r="F67" s="185">
        <v>96</v>
      </c>
      <c r="G67" s="186">
        <v>92</v>
      </c>
      <c r="H67" s="186">
        <v>90</v>
      </c>
      <c r="I67" s="186">
        <v>95</v>
      </c>
      <c r="J67" s="180">
        <v>73</v>
      </c>
      <c r="K67" s="187">
        <v>92</v>
      </c>
      <c r="L67" s="141">
        <f>AVERAGE(LARGE(C67:K67,1),LARGE(C67:K67,2),LARGE(C67:K67,3),LARGE(C67:K67,4),LARGE(C67:K67,5))</f>
        <v>94.6</v>
      </c>
      <c r="M67" s="95"/>
    </row>
    <row r="68" spans="1:13" ht="18.75" customHeight="1">
      <c r="A68" s="103">
        <v>2</v>
      </c>
      <c r="B68" s="128" t="s">
        <v>31</v>
      </c>
      <c r="C68" s="131">
        <v>73</v>
      </c>
      <c r="D68" s="188">
        <v>50</v>
      </c>
      <c r="E68" s="79">
        <v>84</v>
      </c>
      <c r="F68" s="167">
        <v>72</v>
      </c>
      <c r="G68" s="167">
        <v>85</v>
      </c>
      <c r="H68" s="167">
        <v>74</v>
      </c>
      <c r="I68" s="167">
        <v>88</v>
      </c>
      <c r="J68" s="79">
        <v>77</v>
      </c>
      <c r="K68" s="189">
        <v>84</v>
      </c>
      <c r="L68" s="190">
        <f>AVERAGE(LARGE(C68:K68,1),LARGE(C68:K68,2),LARGE(C68:K68,3),LARGE(C68:K68,4),LARGE(C68:K68,5))</f>
        <v>83.6</v>
      </c>
      <c r="M68" s="95"/>
    </row>
    <row r="69" spans="1:13" ht="18.75" customHeight="1">
      <c r="A69" s="103">
        <v>3</v>
      </c>
      <c r="B69" s="128" t="s">
        <v>57</v>
      </c>
      <c r="C69" s="131">
        <v>93</v>
      </c>
      <c r="D69" s="167">
        <v>83</v>
      </c>
      <c r="E69" s="167">
        <v>66</v>
      </c>
      <c r="F69" s="166"/>
      <c r="G69" s="188">
        <v>79</v>
      </c>
      <c r="H69" s="188">
        <v>75</v>
      </c>
      <c r="I69" s="167">
        <v>68</v>
      </c>
      <c r="J69" s="167">
        <v>63</v>
      </c>
      <c r="K69" s="191"/>
      <c r="L69" s="190">
        <f>AVERAGE(LARGE(C69:K69,1),LARGE(C69:K69,2),LARGE(C69:K69,3),LARGE(C69:K69,4),LARGE(C69:K69,5))</f>
        <v>79.6</v>
      </c>
      <c r="M69" s="95"/>
    </row>
    <row r="70" spans="1:13" ht="18.75" customHeight="1">
      <c r="A70" s="103">
        <v>4</v>
      </c>
      <c r="B70" s="163" t="s">
        <v>46</v>
      </c>
      <c r="C70" s="127">
        <v>75</v>
      </c>
      <c r="D70" s="192">
        <v>83</v>
      </c>
      <c r="E70" s="167">
        <v>74</v>
      </c>
      <c r="F70" s="167">
        <v>80</v>
      </c>
      <c r="G70" s="167">
        <v>75</v>
      </c>
      <c r="H70" s="167">
        <v>67</v>
      </c>
      <c r="I70" s="167">
        <v>79</v>
      </c>
      <c r="J70" s="167">
        <v>75</v>
      </c>
      <c r="K70" s="166"/>
      <c r="L70" s="190">
        <f>AVERAGE(LARGE(C70:K70,1),LARGE(C70:K70,2),LARGE(C70:K70,3),LARGE(C70:K70,4),LARGE(C70:K70,5))</f>
        <v>78.4</v>
      </c>
      <c r="M70" s="95"/>
    </row>
    <row r="71" spans="1:13" ht="18.75" customHeight="1">
      <c r="A71" s="103">
        <v>5</v>
      </c>
      <c r="B71" s="147" t="s">
        <v>85</v>
      </c>
      <c r="C71" s="148"/>
      <c r="D71" s="193"/>
      <c r="E71" s="194">
        <v>64</v>
      </c>
      <c r="F71" s="193"/>
      <c r="G71" s="195"/>
      <c r="H71" s="193"/>
      <c r="I71" s="193"/>
      <c r="J71" s="193"/>
      <c r="K71" s="193"/>
      <c r="L71" s="170" t="e">
        <f>AVERAGE(LARGE(C71:K71,1),LARGE(C71:K71,2),LARGE(C71:K71,3),LARGE(C71:K71,4),LARGE(C71:K71,5))</f>
        <v>#VALUE!</v>
      </c>
      <c r="M71" s="95"/>
    </row>
    <row r="72" spans="1:13" ht="18.75" customHeight="1">
      <c r="A72" s="103">
        <v>6</v>
      </c>
      <c r="B72" s="128" t="s">
        <v>42</v>
      </c>
      <c r="C72" s="124"/>
      <c r="D72" s="167">
        <v>39</v>
      </c>
      <c r="E72" s="196"/>
      <c r="F72" s="166"/>
      <c r="G72" s="166"/>
      <c r="H72" s="167">
        <v>44</v>
      </c>
      <c r="I72" s="167">
        <v>61</v>
      </c>
      <c r="J72" s="166"/>
      <c r="K72" s="166"/>
      <c r="L72" s="121" t="e">
        <f>AVERAGE(LARGE(C72:K72,1),LARGE(C72:K72,2),LARGE(C72:K72,3),LARGE(C72:K72,4),LARGE(C72:K72,5))</f>
        <v>#VALUE!</v>
      </c>
      <c r="M72" s="95"/>
    </row>
    <row r="73" spans="1:13" ht="18.75" customHeight="1">
      <c r="A73" s="103">
        <v>7</v>
      </c>
      <c r="B73" s="128" t="s">
        <v>134</v>
      </c>
      <c r="C73" s="124"/>
      <c r="D73" s="166"/>
      <c r="E73" s="166"/>
      <c r="F73" s="166"/>
      <c r="G73" s="166"/>
      <c r="H73" s="166"/>
      <c r="I73" s="167">
        <v>43</v>
      </c>
      <c r="J73" s="166"/>
      <c r="K73" s="191"/>
      <c r="L73" s="121" t="e">
        <f>AVERAGE(LARGE(C73:K73,1),LARGE(C73:K73,2),LARGE(C73:K73,3),LARGE(C73:K73,4),LARGE(C73:K73,5))</f>
        <v>#VALUE!</v>
      </c>
      <c r="M73" s="95"/>
    </row>
    <row r="74" spans="1:13" ht="18.75" customHeight="1">
      <c r="A74" s="103">
        <v>8</v>
      </c>
      <c r="B74" s="128" t="s">
        <v>74</v>
      </c>
      <c r="C74" s="124"/>
      <c r="D74" s="131">
        <v>23</v>
      </c>
      <c r="E74" s="166"/>
      <c r="F74" s="166"/>
      <c r="G74" s="166"/>
      <c r="H74" s="166"/>
      <c r="I74" s="166"/>
      <c r="J74" s="166"/>
      <c r="K74" s="191"/>
      <c r="L74" s="121" t="e">
        <f>AVERAGE(LARGE(C74:K74,1),LARGE(C74:K74,2),LARGE(C74:K74,3),LARGE(C74:K74,4),LARGE(C74:K74,5))</f>
        <v>#VALUE!</v>
      </c>
      <c r="M74" s="95"/>
    </row>
    <row r="75" spans="1:13" ht="18.75" customHeight="1">
      <c r="A75" s="103">
        <v>9</v>
      </c>
      <c r="B75" s="132" t="s">
        <v>40</v>
      </c>
      <c r="C75" s="133"/>
      <c r="D75" s="197"/>
      <c r="E75" s="197"/>
      <c r="F75" s="197"/>
      <c r="G75" s="197"/>
      <c r="H75" s="176">
        <v>61</v>
      </c>
      <c r="I75" s="197"/>
      <c r="J75" s="197"/>
      <c r="K75" s="198"/>
      <c r="L75" s="137" t="e">
        <f>AVERAGE(LARGE(C75:K75,1),LARGE(C75:K75,2),LARGE(C75:K75,3),LARGE(C75:K75,4),LARGE(C75:K75,5))</f>
        <v>#VALUE!</v>
      </c>
      <c r="M75" s="95"/>
    </row>
    <row r="76" spans="1:13" ht="27" customHeight="1">
      <c r="A76" s="93"/>
      <c r="B76" s="199"/>
      <c r="C76" s="199"/>
      <c r="D76" s="199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27" customHeight="1">
      <c r="A77" s="96"/>
      <c r="B77" s="97" t="s">
        <v>222</v>
      </c>
      <c r="C77" s="97"/>
      <c r="D77" s="97"/>
      <c r="E77" s="98" t="s">
        <v>221</v>
      </c>
      <c r="F77" s="98"/>
      <c r="G77" s="98"/>
      <c r="H77" s="98"/>
      <c r="I77" s="99"/>
      <c r="J77" s="99"/>
      <c r="K77" s="95"/>
      <c r="L77" s="95"/>
      <c r="M77" s="95"/>
    </row>
    <row r="78" spans="1:14" ht="18.75" customHeight="1">
      <c r="A78" s="96"/>
      <c r="B78" s="101"/>
      <c r="C78" s="102">
        <v>1</v>
      </c>
      <c r="D78" s="102">
        <v>2</v>
      </c>
      <c r="E78" s="102">
        <v>3</v>
      </c>
      <c r="F78" s="102">
        <v>4</v>
      </c>
      <c r="G78" s="102">
        <v>5</v>
      </c>
      <c r="H78" s="102">
        <v>6</v>
      </c>
      <c r="I78" s="102">
        <v>7</v>
      </c>
      <c r="J78" s="102">
        <v>8</v>
      </c>
      <c r="K78" s="102">
        <v>9</v>
      </c>
      <c r="L78" s="95"/>
      <c r="M78" s="95"/>
      <c r="N78" s="102"/>
    </row>
    <row r="79" spans="1:13" ht="18.75" customHeight="1">
      <c r="A79" s="100"/>
      <c r="B79" s="104" t="s">
        <v>3</v>
      </c>
      <c r="C79" s="105">
        <v>43547</v>
      </c>
      <c r="D79" s="106">
        <v>43562</v>
      </c>
      <c r="E79" s="106">
        <v>43596</v>
      </c>
      <c r="F79" s="106">
        <v>43625</v>
      </c>
      <c r="G79" s="106">
        <v>43666</v>
      </c>
      <c r="H79" s="106">
        <v>43681</v>
      </c>
      <c r="I79" s="106">
        <v>43722</v>
      </c>
      <c r="J79" s="183">
        <v>43750</v>
      </c>
      <c r="K79" s="106">
        <v>43778</v>
      </c>
      <c r="L79" s="108" t="s">
        <v>214</v>
      </c>
      <c r="M79" s="95"/>
    </row>
    <row r="80" spans="1:13" ht="24.75" customHeight="1">
      <c r="A80" s="103">
        <v>1</v>
      </c>
      <c r="B80" s="109" t="s">
        <v>58</v>
      </c>
      <c r="C80" s="184">
        <v>59</v>
      </c>
      <c r="D80" s="186">
        <v>67</v>
      </c>
      <c r="E80" s="200"/>
      <c r="F80" s="180">
        <v>36</v>
      </c>
      <c r="G80" s="186">
        <v>34</v>
      </c>
      <c r="H80" s="180">
        <v>32</v>
      </c>
      <c r="I80" s="180">
        <v>33</v>
      </c>
      <c r="J80" s="186">
        <v>54</v>
      </c>
      <c r="K80" s="186">
        <v>51</v>
      </c>
      <c r="L80" s="141">
        <f>AVERAGE(LARGE(C80:K80,1),LARGE(C80:K80,2),LARGE(C80:K80,3),LARGE(C80:K80,4),LARGE(C80:K80,5))</f>
        <v>53.4</v>
      </c>
      <c r="M80" s="95"/>
    </row>
    <row r="81" spans="1:13" ht="18.75" customHeight="1">
      <c r="A81" s="103">
        <v>2</v>
      </c>
      <c r="B81" s="201" t="s">
        <v>19</v>
      </c>
      <c r="C81" s="202">
        <v>29</v>
      </c>
      <c r="D81" s="167">
        <v>38</v>
      </c>
      <c r="E81" s="79">
        <v>60</v>
      </c>
      <c r="F81" s="79">
        <v>49</v>
      </c>
      <c r="G81" s="166"/>
      <c r="H81" s="79">
        <v>36</v>
      </c>
      <c r="I81" s="79">
        <v>56</v>
      </c>
      <c r="J81" s="167">
        <v>48</v>
      </c>
      <c r="K81" s="167">
        <v>46</v>
      </c>
      <c r="L81" s="190">
        <f>AVERAGE(LARGE(C81:K81,1),LARGE(C81:K81,2),LARGE(C81:K81,3),LARGE(C81:K81,4),LARGE(C81:K81,5))</f>
        <v>51.8</v>
      </c>
      <c r="M81" s="95"/>
    </row>
    <row r="82" spans="1:13" ht="18.75" customHeight="1">
      <c r="A82" s="103">
        <v>3</v>
      </c>
      <c r="B82" s="163" t="s">
        <v>52</v>
      </c>
      <c r="C82" s="122"/>
      <c r="D82" s="203">
        <v>19</v>
      </c>
      <c r="E82" s="166"/>
      <c r="F82" s="166"/>
      <c r="G82" s="204"/>
      <c r="H82" s="205">
        <v>6</v>
      </c>
      <c r="I82" s="205">
        <v>41</v>
      </c>
      <c r="J82" s="206"/>
      <c r="K82" s="192">
        <v>26</v>
      </c>
      <c r="L82" s="121"/>
      <c r="M82" s="95"/>
    </row>
    <row r="83" spans="1:13" ht="18.75" customHeight="1">
      <c r="A83" s="103">
        <v>4</v>
      </c>
      <c r="B83" s="147" t="s">
        <v>201</v>
      </c>
      <c r="C83" s="148"/>
      <c r="D83" s="160"/>
      <c r="E83" s="160"/>
      <c r="F83" s="160"/>
      <c r="G83" s="207"/>
      <c r="H83" s="207"/>
      <c r="I83" s="208">
        <v>29</v>
      </c>
      <c r="J83" s="195"/>
      <c r="K83" s="193"/>
      <c r="L83" s="209" t="e">
        <f>AVERAGE(LARGE(C83:K83,1),LARGE(C83:K83,2),LARGE(C83:K83,3),LARGE(C83:K83,4),LARGE(C83:K83,5))</f>
        <v>#VALUE!</v>
      </c>
      <c r="M83" s="95"/>
    </row>
    <row r="84" spans="1:13" ht="18.75" customHeight="1">
      <c r="A84" s="103">
        <v>5</v>
      </c>
      <c r="B84" s="132" t="s">
        <v>11</v>
      </c>
      <c r="C84" s="133"/>
      <c r="D84" s="197"/>
      <c r="E84" s="210"/>
      <c r="F84" s="210"/>
      <c r="G84" s="176">
        <v>8</v>
      </c>
      <c r="H84" s="211"/>
      <c r="I84" s="211"/>
      <c r="J84" s="212"/>
      <c r="K84" s="197"/>
      <c r="L84" s="137" t="e">
        <f>AVERAGE(LARGE(C84:K84,1),LARGE(C84:K84,2),LARGE(C84:K84,3),LARGE(C84:K84,4),LARGE(C84:K84,5))</f>
        <v>#VALUE!</v>
      </c>
      <c r="M84" s="95"/>
    </row>
    <row r="85" spans="1:13" ht="18.75" customHeight="1">
      <c r="A85" s="93"/>
      <c r="B85" s="199"/>
      <c r="C85" s="199"/>
      <c r="D85" s="199"/>
      <c r="E85" s="95"/>
      <c r="F85" s="95"/>
      <c r="G85" s="95"/>
      <c r="H85" s="95"/>
      <c r="I85" s="95"/>
      <c r="J85" s="95"/>
      <c r="K85" s="95"/>
      <c r="L85" s="95"/>
      <c r="M85" s="95"/>
    </row>
    <row r="86" spans="1:14" ht="30.75" customHeight="1" hidden="1">
      <c r="A86" s="96"/>
      <c r="B86" s="97" t="s">
        <v>223</v>
      </c>
      <c r="C86" s="97"/>
      <c r="D86" s="97"/>
      <c r="E86" s="97"/>
      <c r="F86" s="97"/>
      <c r="G86" s="97"/>
      <c r="H86" s="97"/>
      <c r="K86" s="99"/>
      <c r="L86" s="99"/>
      <c r="M86" s="99"/>
      <c r="N86" s="99"/>
    </row>
    <row r="87" spans="1:13" ht="30.75" customHeight="1" hidden="1">
      <c r="A87" s="96"/>
      <c r="B87" s="101"/>
      <c r="C87" s="102">
        <v>1</v>
      </c>
      <c r="D87" s="102">
        <v>2</v>
      </c>
      <c r="E87" s="102">
        <v>3</v>
      </c>
      <c r="F87" s="102">
        <v>4</v>
      </c>
      <c r="G87" s="102">
        <v>5</v>
      </c>
      <c r="H87" s="102">
        <v>6</v>
      </c>
      <c r="I87" s="102">
        <v>7</v>
      </c>
      <c r="J87" s="102">
        <v>8</v>
      </c>
      <c r="K87" s="102">
        <v>9</v>
      </c>
      <c r="L87" s="95"/>
      <c r="M87" s="95"/>
    </row>
    <row r="88" spans="1:13" ht="18.75" customHeight="1" hidden="1">
      <c r="A88" s="100"/>
      <c r="B88" s="104" t="s">
        <v>3</v>
      </c>
      <c r="C88" s="105">
        <v>43547</v>
      </c>
      <c r="D88" s="106">
        <v>43562</v>
      </c>
      <c r="E88" s="106">
        <v>43596</v>
      </c>
      <c r="F88" s="106">
        <v>43625</v>
      </c>
      <c r="G88" s="106">
        <v>43666</v>
      </c>
      <c r="H88" s="106">
        <v>43681</v>
      </c>
      <c r="I88" s="106">
        <v>43722</v>
      </c>
      <c r="J88" s="183">
        <v>43750</v>
      </c>
      <c r="K88" s="106">
        <v>43778</v>
      </c>
      <c r="L88" s="108" t="s">
        <v>214</v>
      </c>
      <c r="M88" s="95"/>
    </row>
    <row r="89" spans="1:13" ht="18.75" customHeight="1" hidden="1">
      <c r="A89" s="103">
        <v>1</v>
      </c>
      <c r="B89" s="163"/>
      <c r="C89" s="122"/>
      <c r="D89" s="166"/>
      <c r="E89" s="166"/>
      <c r="F89" s="166"/>
      <c r="G89" s="166"/>
      <c r="H89" s="213"/>
      <c r="I89" s="213"/>
      <c r="J89" s="213"/>
      <c r="K89" s="166"/>
      <c r="L89" s="121"/>
      <c r="M89" s="95"/>
    </row>
    <row r="90" spans="1:13" ht="18.75" customHeight="1" hidden="1">
      <c r="A90" s="103">
        <v>2</v>
      </c>
      <c r="B90" s="163"/>
      <c r="C90" s="122"/>
      <c r="D90" s="166"/>
      <c r="E90" s="166"/>
      <c r="F90" s="166"/>
      <c r="G90" s="166"/>
      <c r="H90" s="213"/>
      <c r="I90" s="213"/>
      <c r="J90" s="213"/>
      <c r="K90" s="166"/>
      <c r="L90" s="121"/>
      <c r="M90" s="95"/>
    </row>
    <row r="91" spans="1:13" ht="18.75" customHeight="1" hidden="1">
      <c r="A91" s="103">
        <v>3</v>
      </c>
      <c r="B91" s="132"/>
      <c r="C91" s="133"/>
      <c r="D91" s="197"/>
      <c r="E91" s="197"/>
      <c r="F91" s="197"/>
      <c r="G91" s="197"/>
      <c r="H91" s="197"/>
      <c r="I91" s="197"/>
      <c r="J91" s="197"/>
      <c r="K91" s="198"/>
      <c r="L91" s="137"/>
      <c r="M91" s="95"/>
    </row>
    <row r="92" spans="1:13" ht="27" customHeight="1" hidden="1">
      <c r="A92" s="93"/>
      <c r="B92" s="199"/>
      <c r="C92" s="199"/>
      <c r="D92" s="199"/>
      <c r="E92" s="95"/>
      <c r="F92" s="95"/>
      <c r="G92" s="95"/>
      <c r="H92" s="95"/>
      <c r="I92" s="95"/>
      <c r="J92" s="95"/>
      <c r="K92" s="95"/>
      <c r="L92" s="95"/>
      <c r="M92" s="95"/>
    </row>
    <row r="93" spans="1:13" ht="27" customHeight="1">
      <c r="A93" s="96"/>
      <c r="B93" s="97" t="s">
        <v>224</v>
      </c>
      <c r="C93" s="97"/>
      <c r="D93" s="97"/>
      <c r="E93" s="98" t="s">
        <v>221</v>
      </c>
      <c r="F93" s="98"/>
      <c r="G93" s="98"/>
      <c r="H93" s="98"/>
      <c r="I93" s="99"/>
      <c r="J93" s="99"/>
      <c r="K93" s="95"/>
      <c r="L93" s="95"/>
      <c r="M93" s="95"/>
    </row>
    <row r="94" spans="1:13" ht="18.75" customHeight="1">
      <c r="A94" s="96"/>
      <c r="B94" s="101"/>
      <c r="C94" s="102">
        <v>1</v>
      </c>
      <c r="D94" s="102">
        <v>2</v>
      </c>
      <c r="E94" s="102">
        <v>3</v>
      </c>
      <c r="F94" s="102">
        <v>4</v>
      </c>
      <c r="G94" s="102">
        <v>5</v>
      </c>
      <c r="H94" s="102">
        <v>6</v>
      </c>
      <c r="I94" s="102">
        <v>7</v>
      </c>
      <c r="J94" s="102">
        <v>8</v>
      </c>
      <c r="K94" s="102">
        <v>9</v>
      </c>
      <c r="L94" s="95"/>
      <c r="M94" s="95"/>
    </row>
    <row r="95" spans="1:13" ht="18.75" customHeight="1">
      <c r="A95" s="100"/>
      <c r="B95" s="104" t="s">
        <v>3</v>
      </c>
      <c r="C95" s="105">
        <v>43547</v>
      </c>
      <c r="D95" s="106">
        <v>43562</v>
      </c>
      <c r="E95" s="106">
        <v>43596</v>
      </c>
      <c r="F95" s="106">
        <v>43625</v>
      </c>
      <c r="G95" s="106">
        <v>43666</v>
      </c>
      <c r="H95" s="106">
        <v>43681</v>
      </c>
      <c r="I95" s="106">
        <v>43722</v>
      </c>
      <c r="J95" s="183">
        <v>43750</v>
      </c>
      <c r="K95" s="106">
        <v>43778</v>
      </c>
      <c r="L95" s="108" t="s">
        <v>214</v>
      </c>
      <c r="M95" s="95"/>
    </row>
    <row r="96" spans="1:13" ht="24.75" customHeight="1">
      <c r="A96" s="103">
        <v>1</v>
      </c>
      <c r="B96" s="109" t="s">
        <v>41</v>
      </c>
      <c r="C96" s="184">
        <v>91</v>
      </c>
      <c r="D96" s="180">
        <v>90</v>
      </c>
      <c r="E96" s="186">
        <v>93</v>
      </c>
      <c r="F96" s="180">
        <v>83</v>
      </c>
      <c r="G96" s="186">
        <v>96</v>
      </c>
      <c r="H96" s="180">
        <v>91</v>
      </c>
      <c r="I96" s="185">
        <v>99</v>
      </c>
      <c r="J96" s="186">
        <v>98</v>
      </c>
      <c r="K96" s="214">
        <v>88</v>
      </c>
      <c r="L96" s="141">
        <f>AVERAGE(LARGE(C96:K96,1),LARGE(C96:K96,2),LARGE(C96:K96,3),LARGE(C96:K96,4),LARGE(C96:K96,5))</f>
        <v>95.4</v>
      </c>
      <c r="M96" s="95"/>
    </row>
    <row r="97" spans="1:13" ht="18.75" customHeight="1">
      <c r="A97" s="103">
        <v>2</v>
      </c>
      <c r="B97" s="128" t="s">
        <v>31</v>
      </c>
      <c r="C97" s="131">
        <v>87</v>
      </c>
      <c r="D97" s="215">
        <v>93</v>
      </c>
      <c r="E97" s="167">
        <v>83</v>
      </c>
      <c r="F97" s="79">
        <v>95</v>
      </c>
      <c r="G97" s="167">
        <v>92</v>
      </c>
      <c r="H97" s="79">
        <v>97</v>
      </c>
      <c r="I97" s="167">
        <v>96</v>
      </c>
      <c r="J97" s="167">
        <v>94</v>
      </c>
      <c r="K97" s="216">
        <v>94</v>
      </c>
      <c r="L97" s="190">
        <f>AVERAGE(LARGE(C97:K97,1),LARGE(C97:K97,2),LARGE(C97:K97,3),LARGE(C97:K97,4),LARGE(C97:K97,5))</f>
        <v>95.2</v>
      </c>
      <c r="M97" s="95"/>
    </row>
    <row r="98" spans="1:13" ht="18.75" customHeight="1">
      <c r="A98" s="103">
        <v>3</v>
      </c>
      <c r="B98" s="128" t="s">
        <v>57</v>
      </c>
      <c r="C98" s="131">
        <v>65</v>
      </c>
      <c r="D98" s="188">
        <v>83</v>
      </c>
      <c r="E98" s="188">
        <v>58</v>
      </c>
      <c r="F98" s="166"/>
      <c r="G98" s="167">
        <v>74</v>
      </c>
      <c r="H98" s="167">
        <v>64</v>
      </c>
      <c r="I98" s="167">
        <v>79</v>
      </c>
      <c r="J98" s="167">
        <v>81</v>
      </c>
      <c r="K98" s="191"/>
      <c r="L98" s="190">
        <f>AVERAGE(LARGE(C98:K98,1),LARGE(C98:K98,2),LARGE(C98:K98,3),LARGE(C98:K98,4),LARGE(C98:K98,5))</f>
        <v>76.4</v>
      </c>
      <c r="M98" s="95"/>
    </row>
    <row r="99" spans="1:13" ht="18.75" customHeight="1">
      <c r="A99" s="103">
        <v>4</v>
      </c>
      <c r="B99" s="128" t="s">
        <v>19</v>
      </c>
      <c r="C99" s="42">
        <v>59</v>
      </c>
      <c r="D99" s="217">
        <v>71</v>
      </c>
      <c r="E99" s="217">
        <v>60</v>
      </c>
      <c r="F99" s="217">
        <v>66</v>
      </c>
      <c r="G99" s="218"/>
      <c r="H99" s="217">
        <v>76</v>
      </c>
      <c r="I99" s="217">
        <v>77</v>
      </c>
      <c r="J99" s="217">
        <v>81</v>
      </c>
      <c r="K99" s="219">
        <v>76</v>
      </c>
      <c r="L99" s="190">
        <f>AVERAGE(LARGE(C99:K99,1),LARGE(C99:K99,2),LARGE(C99:K99,3),LARGE(C99:K99,4),LARGE(C99:K99,5))</f>
        <v>76.2</v>
      </c>
      <c r="M99" s="95"/>
    </row>
    <row r="100" spans="1:13" ht="18.75" customHeight="1">
      <c r="A100" s="103">
        <v>5</v>
      </c>
      <c r="B100" s="128" t="s">
        <v>43</v>
      </c>
      <c r="C100" s="42">
        <v>53</v>
      </c>
      <c r="D100" s="217">
        <v>77</v>
      </c>
      <c r="E100" s="217">
        <v>54</v>
      </c>
      <c r="F100" s="217">
        <v>71</v>
      </c>
      <c r="G100" s="217">
        <v>69</v>
      </c>
      <c r="H100" s="217">
        <v>74</v>
      </c>
      <c r="I100" s="217">
        <v>89</v>
      </c>
      <c r="J100" s="218"/>
      <c r="K100" s="220"/>
      <c r="L100" s="190">
        <f>AVERAGE(LARGE(C100:K100,1),LARGE(C100:K100,2),LARGE(C100:K100,3),LARGE(C100:K100,4),LARGE(C100:K100,5))</f>
        <v>76</v>
      </c>
      <c r="M100" s="95"/>
    </row>
    <row r="101" spans="1:13" ht="18.75" customHeight="1">
      <c r="A101" s="103">
        <v>6</v>
      </c>
      <c r="B101" s="128" t="s">
        <v>46</v>
      </c>
      <c r="C101" s="42">
        <v>71</v>
      </c>
      <c r="D101" s="42">
        <v>73</v>
      </c>
      <c r="E101" s="217">
        <v>76</v>
      </c>
      <c r="F101" s="217">
        <v>55</v>
      </c>
      <c r="G101" s="217">
        <v>66</v>
      </c>
      <c r="H101" s="217">
        <v>85</v>
      </c>
      <c r="I101" s="217">
        <v>59</v>
      </c>
      <c r="J101" s="217">
        <v>38</v>
      </c>
      <c r="K101" s="220"/>
      <c r="L101" s="190">
        <f>AVERAGE(LARGE(C101:K101,1),LARGE(C101:K101,2),LARGE(C101:K101,3),LARGE(C101:K101,4),LARGE(C101:K101,5))</f>
        <v>74.2</v>
      </c>
      <c r="M101" s="95"/>
    </row>
    <row r="102" spans="1:13" ht="18.75" customHeight="1">
      <c r="A102" s="103">
        <v>7</v>
      </c>
      <c r="B102" s="163" t="s">
        <v>225</v>
      </c>
      <c r="C102" s="221"/>
      <c r="D102" s="167">
        <v>44</v>
      </c>
      <c r="E102" s="166"/>
      <c r="F102" s="167">
        <v>73</v>
      </c>
      <c r="G102" s="167">
        <v>60</v>
      </c>
      <c r="H102" s="167">
        <v>76</v>
      </c>
      <c r="I102" s="167">
        <v>68</v>
      </c>
      <c r="J102" s="166"/>
      <c r="K102" s="191"/>
      <c r="L102" s="190">
        <f>AVERAGE(LARGE(C102:K102,1),LARGE(C102:K102,2),LARGE(C102:K102,3),LARGE(C102:K102,4),LARGE(C102:K102,5))</f>
        <v>64.2</v>
      </c>
      <c r="M102" s="95"/>
    </row>
    <row r="103" spans="1:13" ht="18.75" customHeight="1">
      <c r="A103" s="103">
        <v>8</v>
      </c>
      <c r="B103" s="147" t="s">
        <v>8</v>
      </c>
      <c r="C103" s="222"/>
      <c r="D103" s="160"/>
      <c r="E103" s="160"/>
      <c r="F103" s="160"/>
      <c r="G103" s="160"/>
      <c r="H103" s="160"/>
      <c r="I103" s="160"/>
      <c r="J103" s="160"/>
      <c r="K103" s="208">
        <v>81</v>
      </c>
      <c r="L103" s="209" t="e">
        <f>AVERAGE(LARGE(C103:K103,1),LARGE(C103:K103,2),LARGE(C103:K103,3),LARGE(C103:K103,4),LARGE(C103:K103,5))</f>
        <v>#VALUE!</v>
      </c>
      <c r="M103" s="95"/>
    </row>
    <row r="104" spans="1:13" ht="18.75" customHeight="1">
      <c r="A104" s="103">
        <v>9</v>
      </c>
      <c r="B104" s="163" t="s">
        <v>193</v>
      </c>
      <c r="C104" s="204"/>
      <c r="D104" s="166"/>
      <c r="E104" s="166"/>
      <c r="F104" s="166"/>
      <c r="G104" s="166"/>
      <c r="H104" s="167">
        <v>71</v>
      </c>
      <c r="I104" s="166"/>
      <c r="J104" s="166"/>
      <c r="K104" s="166"/>
      <c r="L104" s="121" t="e">
        <f>AVERAGE(LARGE(C104:K104,1),LARGE(C104:K104,2),LARGE(C104:K104,3),LARGE(C104:K104,4),LARGE(C104:K104,5))</f>
        <v>#VALUE!</v>
      </c>
      <c r="M104" s="95"/>
    </row>
    <row r="105" spans="1:13" ht="18.75" customHeight="1">
      <c r="A105" s="103">
        <v>10</v>
      </c>
      <c r="B105" s="163" t="s">
        <v>201</v>
      </c>
      <c r="C105" s="204"/>
      <c r="D105" s="166"/>
      <c r="E105" s="166"/>
      <c r="F105" s="166"/>
      <c r="G105" s="166"/>
      <c r="H105" s="213"/>
      <c r="I105" s="167">
        <v>83</v>
      </c>
      <c r="J105" s="213"/>
      <c r="K105" s="166"/>
      <c r="L105" s="121" t="e">
        <f>AVERAGE(LARGE(C105:K105,1),LARGE(C105:K105,2),LARGE(C105:K105,3),LARGE(C105:K105,4),LARGE(C105:K105,5))</f>
        <v>#VALUE!</v>
      </c>
      <c r="M105" s="95"/>
    </row>
    <row r="106" spans="1:13" ht="18.75" customHeight="1">
      <c r="A106" s="103">
        <v>11</v>
      </c>
      <c r="B106" s="128" t="s">
        <v>38</v>
      </c>
      <c r="C106" s="41">
        <v>88</v>
      </c>
      <c r="D106" s="167">
        <v>77</v>
      </c>
      <c r="E106" s="167">
        <v>76</v>
      </c>
      <c r="F106" s="166"/>
      <c r="G106" s="166"/>
      <c r="H106" s="213"/>
      <c r="I106" s="213"/>
      <c r="J106" s="213"/>
      <c r="K106" s="191"/>
      <c r="L106" s="121" t="e">
        <f>AVERAGE(LARGE(C106:K106,1),LARGE(C106:K106,2),LARGE(C106:K106,3),LARGE(C106:K106,4),LARGE(C106:K106,5))</f>
        <v>#VALUE!</v>
      </c>
      <c r="M106" s="95"/>
    </row>
    <row r="107" spans="1:13" ht="18.75" customHeight="1">
      <c r="A107" s="103">
        <v>12</v>
      </c>
      <c r="B107" s="128" t="s">
        <v>194</v>
      </c>
      <c r="C107" s="196"/>
      <c r="D107" s="166"/>
      <c r="E107" s="166"/>
      <c r="F107" s="166"/>
      <c r="G107" s="166"/>
      <c r="H107" s="167">
        <v>27</v>
      </c>
      <c r="I107" s="166"/>
      <c r="J107" s="166"/>
      <c r="K107" s="191"/>
      <c r="L107" s="121" t="e">
        <f>AVERAGE(LARGE(C107:K107,1),LARGE(C107:K107,2),LARGE(C107:K107,3),LARGE(C107:K107,4),LARGE(C107:K107,5))</f>
        <v>#VALUE!</v>
      </c>
      <c r="M107" s="95"/>
    </row>
    <row r="108" spans="1:13" ht="18.75" customHeight="1">
      <c r="A108" s="103">
        <v>13</v>
      </c>
      <c r="B108" s="128" t="s">
        <v>85</v>
      </c>
      <c r="C108" s="196"/>
      <c r="D108" s="196"/>
      <c r="E108" s="167">
        <v>83</v>
      </c>
      <c r="F108" s="196"/>
      <c r="G108" s="166"/>
      <c r="H108" s="218"/>
      <c r="I108" s="166"/>
      <c r="J108" s="166"/>
      <c r="K108" s="191"/>
      <c r="L108" s="121" t="e">
        <f>AVERAGE(LARGE(C108:K108,1),LARGE(C108:K108,2),LARGE(C108:K108,3),LARGE(C108:K108,4),LARGE(C108:K108,5))</f>
        <v>#VALUE!</v>
      </c>
      <c r="M108" s="95"/>
    </row>
    <row r="109" spans="1:13" ht="18.75" customHeight="1">
      <c r="A109" s="103">
        <v>14</v>
      </c>
      <c r="B109" s="128" t="s">
        <v>134</v>
      </c>
      <c r="C109" s="223"/>
      <c r="D109" s="218"/>
      <c r="E109" s="218"/>
      <c r="F109" s="218"/>
      <c r="G109" s="218"/>
      <c r="H109" s="218"/>
      <c r="I109" s="167">
        <v>79</v>
      </c>
      <c r="J109" s="218"/>
      <c r="K109" s="220"/>
      <c r="L109" s="121"/>
      <c r="M109" s="95"/>
    </row>
    <row r="110" spans="1:13" ht="18.75" customHeight="1">
      <c r="A110" s="103">
        <v>15</v>
      </c>
      <c r="B110" s="128" t="s">
        <v>74</v>
      </c>
      <c r="C110" s="124"/>
      <c r="D110" s="167">
        <v>45</v>
      </c>
      <c r="E110" s="166"/>
      <c r="F110" s="166"/>
      <c r="G110" s="166"/>
      <c r="H110" s="166"/>
      <c r="I110" s="166"/>
      <c r="J110" s="166"/>
      <c r="K110" s="218"/>
      <c r="L110" s="121" t="e">
        <f>AVERAGE(LARGE(C110:K110,1),LARGE(C110:K110,2),LARGE(C110:K110,3),LARGE(C110:K110,4),LARGE(C110:K110,5))</f>
        <v>#VALUE!</v>
      </c>
      <c r="M110" s="95"/>
    </row>
    <row r="111" spans="1:13" ht="18.75" customHeight="1">
      <c r="A111" s="103">
        <v>16</v>
      </c>
      <c r="B111" s="132" t="s">
        <v>40</v>
      </c>
      <c r="C111" s="210"/>
      <c r="D111" s="210"/>
      <c r="E111" s="197"/>
      <c r="F111" s="197"/>
      <c r="G111" s="197"/>
      <c r="H111" s="176">
        <v>65</v>
      </c>
      <c r="I111" s="197"/>
      <c r="J111" s="197"/>
      <c r="K111" s="198"/>
      <c r="L111" s="137" t="e">
        <f>AVERAGE(LARGE(C111:K111,1),LARGE(C111:K111,2),LARGE(C111:K111,3),LARGE(C111:K111,4),LARGE(C111:K111,5))</f>
        <v>#VALUE!</v>
      </c>
      <c r="M111" s="95"/>
    </row>
    <row r="112" spans="1:13" ht="26.25" customHeight="1">
      <c r="A112" s="93"/>
      <c r="B112" s="199"/>
      <c r="C112" s="199"/>
      <c r="D112" s="199"/>
      <c r="E112" s="95"/>
      <c r="F112" s="95"/>
      <c r="G112" s="95"/>
      <c r="H112" s="95"/>
      <c r="I112" s="95"/>
      <c r="J112" s="95"/>
      <c r="K112" s="95"/>
      <c r="L112" s="95"/>
      <c r="M112" s="95"/>
    </row>
    <row r="113" spans="1:13" ht="26.25" customHeight="1">
      <c r="A113" s="96"/>
      <c r="B113" s="97" t="s">
        <v>226</v>
      </c>
      <c r="C113" s="97"/>
      <c r="D113" s="97"/>
      <c r="E113" s="98" t="s">
        <v>221</v>
      </c>
      <c r="F113" s="98"/>
      <c r="G113" s="98"/>
      <c r="H113" s="98"/>
      <c r="I113" s="99"/>
      <c r="J113" s="99"/>
      <c r="K113" s="95"/>
      <c r="L113" s="95"/>
      <c r="M113" s="95"/>
    </row>
    <row r="114" spans="1:13" ht="18.75" customHeight="1">
      <c r="A114" s="96"/>
      <c r="B114" s="101"/>
      <c r="C114" s="102">
        <v>1</v>
      </c>
      <c r="D114" s="102">
        <v>2</v>
      </c>
      <c r="E114" s="102">
        <v>3</v>
      </c>
      <c r="F114" s="102">
        <v>4</v>
      </c>
      <c r="G114" s="102">
        <v>5</v>
      </c>
      <c r="H114" s="102">
        <v>6</v>
      </c>
      <c r="I114" s="102">
        <v>7</v>
      </c>
      <c r="J114" s="102">
        <v>8</v>
      </c>
      <c r="K114" s="102">
        <v>9</v>
      </c>
      <c r="L114" s="95"/>
      <c r="M114" s="95"/>
    </row>
    <row r="115" spans="2:13" ht="18.75" customHeight="1">
      <c r="B115" s="104" t="s">
        <v>3</v>
      </c>
      <c r="C115" s="105">
        <v>43547</v>
      </c>
      <c r="D115" s="106">
        <v>43562</v>
      </c>
      <c r="E115" s="106">
        <v>43596</v>
      </c>
      <c r="F115" s="106">
        <v>43625</v>
      </c>
      <c r="G115" s="106">
        <v>43666</v>
      </c>
      <c r="H115" s="106">
        <v>43681</v>
      </c>
      <c r="I115" s="106">
        <v>43722</v>
      </c>
      <c r="J115" s="183">
        <v>43750</v>
      </c>
      <c r="K115" s="106">
        <v>43778</v>
      </c>
      <c r="L115" s="108" t="s">
        <v>214</v>
      </c>
      <c r="M115" s="95"/>
    </row>
    <row r="116" spans="1:13" ht="18.75" customHeight="1">
      <c r="A116" s="103">
        <v>1</v>
      </c>
      <c r="B116" s="224" t="s">
        <v>61</v>
      </c>
      <c r="C116" s="225">
        <v>48</v>
      </c>
      <c r="D116" s="200"/>
      <c r="E116" s="226">
        <v>59</v>
      </c>
      <c r="F116" s="186">
        <v>73</v>
      </c>
      <c r="G116" s="180">
        <v>57</v>
      </c>
      <c r="H116" s="180">
        <v>58</v>
      </c>
      <c r="I116" s="186">
        <v>55</v>
      </c>
      <c r="J116" s="227"/>
      <c r="K116" s="187">
        <v>57</v>
      </c>
      <c r="L116" s="141">
        <f>AVERAGE(LARGE(C116:K116,1),LARGE(C116:K116,2),LARGE(C116:K116,3),LARGE(C116:K116,4),LARGE(C116:K116,5))</f>
        <v>60.8</v>
      </c>
      <c r="M116" s="95"/>
    </row>
    <row r="117" spans="1:13" ht="18.75" customHeight="1">
      <c r="A117" s="103">
        <v>2</v>
      </c>
      <c r="B117" s="128" t="s">
        <v>58</v>
      </c>
      <c r="C117" s="215">
        <v>60</v>
      </c>
      <c r="D117" s="167">
        <v>51</v>
      </c>
      <c r="E117" s="166"/>
      <c r="F117" s="166"/>
      <c r="G117" s="167">
        <v>43</v>
      </c>
      <c r="H117" s="79">
        <v>59</v>
      </c>
      <c r="I117" s="167">
        <v>55</v>
      </c>
      <c r="J117" s="79">
        <v>74</v>
      </c>
      <c r="K117" s="189">
        <v>36</v>
      </c>
      <c r="L117" s="190">
        <f>AVERAGE(LARGE(C117:K117,1),LARGE(C117:K117,2),LARGE(C117:K117,3),LARGE(C117:K117,4),LARGE(C117:K117,5))</f>
        <v>59.8</v>
      </c>
      <c r="M117" s="95"/>
    </row>
    <row r="118" spans="1:13" ht="18.75" customHeight="1">
      <c r="A118" s="103">
        <v>3</v>
      </c>
      <c r="B118" s="163" t="s">
        <v>21</v>
      </c>
      <c r="C118" s="127">
        <v>40</v>
      </c>
      <c r="D118" s="79">
        <v>54</v>
      </c>
      <c r="E118" s="166"/>
      <c r="F118" s="167">
        <v>12</v>
      </c>
      <c r="G118" s="79">
        <v>64</v>
      </c>
      <c r="H118" s="167">
        <v>39</v>
      </c>
      <c r="I118" s="166"/>
      <c r="J118" s="167">
        <v>38</v>
      </c>
      <c r="K118" s="191"/>
      <c r="L118" s="190">
        <f>AVERAGE(LARGE(C118:K118,1),LARGE(C118:K118,2),LARGE(C118:K118,3),LARGE(C118:K118,4),LARGE(C118:K118,5))</f>
        <v>47</v>
      </c>
      <c r="M118" s="95"/>
    </row>
    <row r="119" spans="1:13" ht="18.75" customHeight="1">
      <c r="A119" s="103">
        <v>4</v>
      </c>
      <c r="B119" s="147" t="s">
        <v>52</v>
      </c>
      <c r="C119" s="148"/>
      <c r="D119" s="228">
        <v>63</v>
      </c>
      <c r="E119" s="160"/>
      <c r="F119" s="160"/>
      <c r="G119" s="160"/>
      <c r="H119" s="208">
        <v>41</v>
      </c>
      <c r="I119" s="208">
        <v>49</v>
      </c>
      <c r="J119" s="195"/>
      <c r="K119" s="194">
        <v>52</v>
      </c>
      <c r="L119" s="170" t="e">
        <f>AVERAGE(LARGE(C119:K119,1),LARGE(C119:K119,2),LARGE(C119:K119,3),LARGE(C119:K119,4),LARGE(C119:K119,5))</f>
        <v>#VALUE!</v>
      </c>
      <c r="M119" s="95"/>
    </row>
    <row r="120" spans="1:13" ht="18.75" customHeight="1">
      <c r="A120" s="103">
        <v>5</v>
      </c>
      <c r="B120" s="163" t="s">
        <v>195</v>
      </c>
      <c r="C120" s="122"/>
      <c r="D120" s="221"/>
      <c r="E120" s="166"/>
      <c r="F120" s="166"/>
      <c r="G120" s="166"/>
      <c r="H120" s="167">
        <v>53</v>
      </c>
      <c r="I120" s="166"/>
      <c r="J120" s="166"/>
      <c r="K120" s="166"/>
      <c r="L120" s="121" t="e">
        <f>AVERAGE(LARGE(C120:K120,1),LARGE(C120:K120,2),LARGE(C120:K120,3),LARGE(C120:K120,4),LARGE(C120:K120,5))</f>
        <v>#VALUE!</v>
      </c>
      <c r="M120" s="95"/>
    </row>
    <row r="121" spans="1:13" ht="18.75" customHeight="1">
      <c r="A121" s="103">
        <v>6</v>
      </c>
      <c r="B121" s="163" t="s">
        <v>11</v>
      </c>
      <c r="C121" s="127">
        <v>26</v>
      </c>
      <c r="D121" s="166"/>
      <c r="E121" s="166"/>
      <c r="F121" s="166"/>
      <c r="G121" s="166"/>
      <c r="H121" s="213"/>
      <c r="I121" s="213"/>
      <c r="J121" s="213"/>
      <c r="K121" s="166"/>
      <c r="L121" s="121" t="e">
        <f>AVERAGE(LARGE(C121:K121,1),LARGE(C121:K121,2),LARGE(C121:K121,3),LARGE(C121:K121,4),LARGE(C121:K121,5))</f>
        <v>#VALUE!</v>
      </c>
      <c r="M121" s="95"/>
    </row>
    <row r="122" spans="1:13" ht="18.75" customHeight="1">
      <c r="A122" s="103">
        <v>7</v>
      </c>
      <c r="B122" s="128" t="s">
        <v>79</v>
      </c>
      <c r="C122" s="124"/>
      <c r="D122" s="196"/>
      <c r="E122" s="166"/>
      <c r="F122" s="166"/>
      <c r="G122" s="213"/>
      <c r="H122" s="205">
        <v>74</v>
      </c>
      <c r="I122" s="205">
        <v>91</v>
      </c>
      <c r="J122" s="229">
        <v>85</v>
      </c>
      <c r="K122" s="191"/>
      <c r="L122" s="121"/>
      <c r="M122" s="95"/>
    </row>
    <row r="123" spans="1:13" ht="18.75" customHeight="1">
      <c r="A123" s="103">
        <v>8</v>
      </c>
      <c r="B123" s="132" t="s">
        <v>76</v>
      </c>
      <c r="C123" s="133"/>
      <c r="D123" s="210"/>
      <c r="E123" s="176">
        <v>29</v>
      </c>
      <c r="F123" s="176">
        <v>49</v>
      </c>
      <c r="G123" s="212"/>
      <c r="H123" s="197"/>
      <c r="I123" s="197"/>
      <c r="J123" s="197"/>
      <c r="K123" s="198"/>
      <c r="L123" s="137" t="e">
        <f>AVERAGE(LARGE(C123:K123,1),LARGE(C123:K123,2),LARGE(C123:K123,3),LARGE(C123:K123,4),LARGE(C123:K123,5))</f>
        <v>#VALUE!</v>
      </c>
      <c r="M123" s="95"/>
    </row>
    <row r="124" spans="1:13" ht="24" customHeight="1">
      <c r="A124" s="93"/>
      <c r="B124" s="199"/>
      <c r="C124" s="199"/>
      <c r="D124" s="199"/>
      <c r="E124" s="95"/>
      <c r="F124" s="95"/>
      <c r="G124" s="95"/>
      <c r="H124" s="95"/>
      <c r="I124" s="95"/>
      <c r="J124" s="95"/>
      <c r="K124" s="95"/>
      <c r="L124" s="95"/>
      <c r="M124" s="95"/>
    </row>
    <row r="125" spans="1:14" ht="24" customHeight="1">
      <c r="A125" s="96"/>
      <c r="B125" s="97" t="s">
        <v>227</v>
      </c>
      <c r="C125" s="97"/>
      <c r="D125" s="97"/>
      <c r="E125" s="97"/>
      <c r="F125" s="97"/>
      <c r="G125" s="97"/>
      <c r="H125" s="97"/>
      <c r="K125" s="99"/>
      <c r="L125" s="99"/>
      <c r="M125" s="99"/>
      <c r="N125" s="99"/>
    </row>
    <row r="126" spans="1:13" ht="18.75" customHeight="1">
      <c r="A126" s="96"/>
      <c r="B126" s="101"/>
      <c r="C126" s="102">
        <v>1</v>
      </c>
      <c r="D126" s="102">
        <v>2</v>
      </c>
      <c r="E126" s="102">
        <v>3</v>
      </c>
      <c r="F126" s="102">
        <v>4</v>
      </c>
      <c r="G126" s="102">
        <v>5</v>
      </c>
      <c r="H126" s="102">
        <v>6</v>
      </c>
      <c r="I126" s="102">
        <v>7</v>
      </c>
      <c r="J126" s="102">
        <v>8</v>
      </c>
      <c r="K126" s="102">
        <v>9</v>
      </c>
      <c r="L126" s="95"/>
      <c r="M126" s="95"/>
    </row>
    <row r="127" spans="1:13" ht="18.75" customHeight="1">
      <c r="A127" s="100"/>
      <c r="B127" s="104" t="s">
        <v>3</v>
      </c>
      <c r="C127" s="105">
        <v>43547</v>
      </c>
      <c r="D127" s="106">
        <v>43562</v>
      </c>
      <c r="E127" s="106">
        <v>43596</v>
      </c>
      <c r="F127" s="106">
        <v>43625</v>
      </c>
      <c r="G127" s="106">
        <v>43666</v>
      </c>
      <c r="H127" s="106">
        <v>43681</v>
      </c>
      <c r="I127" s="106">
        <v>43722</v>
      </c>
      <c r="J127" s="183">
        <v>43750</v>
      </c>
      <c r="K127" s="106">
        <v>43778</v>
      </c>
      <c r="L127" s="108" t="s">
        <v>214</v>
      </c>
      <c r="M127" s="95"/>
    </row>
    <row r="128" spans="1:13" ht="18.75" customHeight="1">
      <c r="A128" s="103">
        <v>1</v>
      </c>
      <c r="B128" s="230" t="s">
        <v>228</v>
      </c>
      <c r="C128" s="231"/>
      <c r="D128" s="232"/>
      <c r="E128" s="233">
        <v>33</v>
      </c>
      <c r="F128" s="232"/>
      <c r="G128" s="232"/>
      <c r="H128" s="234"/>
      <c r="I128" s="234"/>
      <c r="J128" s="234"/>
      <c r="K128" s="232"/>
      <c r="L128" s="235"/>
      <c r="M128" s="95"/>
    </row>
    <row r="129" spans="1:13" ht="25.5" customHeight="1">
      <c r="A129" s="236"/>
      <c r="B129" s="236"/>
      <c r="C129" s="236"/>
      <c r="D129" s="236"/>
      <c r="E129" s="236"/>
      <c r="F129" s="236"/>
      <c r="G129" s="236"/>
      <c r="H129" s="236"/>
      <c r="I129" s="236"/>
      <c r="J129" s="236"/>
      <c r="K129" s="95"/>
      <c r="L129" s="95"/>
      <c r="M129" s="95"/>
    </row>
    <row r="130" spans="1:13" ht="25.5" customHeight="1">
      <c r="A130" s="96"/>
      <c r="B130" s="97" t="s">
        <v>229</v>
      </c>
      <c r="C130" s="97"/>
      <c r="D130" s="97"/>
      <c r="E130" s="97"/>
      <c r="F130" s="97"/>
      <c r="G130" s="237" t="s">
        <v>221</v>
      </c>
      <c r="H130" s="237"/>
      <c r="I130" s="237"/>
      <c r="J130" s="237"/>
      <c r="K130" s="237"/>
      <c r="L130" s="102"/>
      <c r="M130" s="95"/>
    </row>
    <row r="131" spans="1:13" ht="19.5" customHeight="1">
      <c r="A131" s="96"/>
      <c r="B131" s="101"/>
      <c r="C131" s="102">
        <v>1</v>
      </c>
      <c r="D131" s="102">
        <v>2</v>
      </c>
      <c r="E131" s="102">
        <v>3</v>
      </c>
      <c r="F131" s="102">
        <v>4</v>
      </c>
      <c r="G131" s="102">
        <v>5</v>
      </c>
      <c r="H131" s="102">
        <v>6</v>
      </c>
      <c r="I131" s="102">
        <v>7</v>
      </c>
      <c r="J131" s="102">
        <v>8</v>
      </c>
      <c r="K131" s="102">
        <v>9</v>
      </c>
      <c r="L131" s="102">
        <v>10</v>
      </c>
      <c r="M131" s="95"/>
    </row>
    <row r="132" spans="1:13" ht="19.5" customHeight="1">
      <c r="A132" s="100"/>
      <c r="B132" s="104" t="s">
        <v>3</v>
      </c>
      <c r="C132" s="105">
        <v>43548</v>
      </c>
      <c r="D132" s="106">
        <v>43583</v>
      </c>
      <c r="E132" s="106">
        <v>43603</v>
      </c>
      <c r="F132" s="107">
        <v>43610</v>
      </c>
      <c r="G132" s="106">
        <v>43639</v>
      </c>
      <c r="H132" s="106">
        <v>43660</v>
      </c>
      <c r="I132" s="106">
        <v>43708</v>
      </c>
      <c r="J132" s="106">
        <v>43737</v>
      </c>
      <c r="K132" s="106">
        <v>43751</v>
      </c>
      <c r="L132" s="106">
        <v>43785</v>
      </c>
      <c r="M132" s="108" t="s">
        <v>214</v>
      </c>
    </row>
    <row r="133" spans="1:13" ht="19.5" customHeight="1">
      <c r="A133" s="103">
        <v>1</v>
      </c>
      <c r="B133" s="238" t="s">
        <v>64</v>
      </c>
      <c r="C133" s="151">
        <v>197</v>
      </c>
      <c r="D133" s="188">
        <v>195</v>
      </c>
      <c r="E133" s="167">
        <v>193</v>
      </c>
      <c r="F133" s="239">
        <v>193</v>
      </c>
      <c r="G133" s="239">
        <v>195</v>
      </c>
      <c r="H133" s="239">
        <v>195</v>
      </c>
      <c r="I133" s="167">
        <v>191</v>
      </c>
      <c r="J133" s="239">
        <v>194</v>
      </c>
      <c r="K133" s="151">
        <v>197</v>
      </c>
      <c r="L133" s="239">
        <v>195</v>
      </c>
      <c r="M133" s="240">
        <f>AVERAGE(LARGE(C133:L133,1),LARGE(C133:L133,2),LARGE(C133:L133,3),LARGE(C133:L133,4),LARGE(C133:L133,5))</f>
        <v>195.8</v>
      </c>
    </row>
    <row r="134" spans="1:13" ht="19.5" customHeight="1">
      <c r="A134" s="103">
        <v>2</v>
      </c>
      <c r="B134" s="128" t="s">
        <v>65</v>
      </c>
      <c r="C134" s="131">
        <v>195</v>
      </c>
      <c r="D134" s="239">
        <v>195</v>
      </c>
      <c r="E134" s="239">
        <v>195</v>
      </c>
      <c r="F134" s="167">
        <v>190</v>
      </c>
      <c r="G134" s="167">
        <v>180</v>
      </c>
      <c r="H134" s="167">
        <v>195</v>
      </c>
      <c r="I134" s="167">
        <v>192</v>
      </c>
      <c r="J134" s="167">
        <v>192</v>
      </c>
      <c r="K134" s="167">
        <v>192</v>
      </c>
      <c r="L134" s="189">
        <v>191</v>
      </c>
      <c r="M134" s="190">
        <f>AVERAGE(LARGE(C134:L134,1),LARGE(C134:L134,2),LARGE(C134:L134,3),LARGE(C134:L134,4),LARGE(C134:L134,5))</f>
        <v>194.4</v>
      </c>
    </row>
    <row r="135" spans="1:13" ht="19.5" customHeight="1">
      <c r="A135" s="103">
        <v>3</v>
      </c>
      <c r="B135" s="128" t="s">
        <v>57</v>
      </c>
      <c r="C135" s="131">
        <v>185</v>
      </c>
      <c r="D135" s="167">
        <v>191</v>
      </c>
      <c r="E135" s="166"/>
      <c r="F135" s="166"/>
      <c r="G135" s="239">
        <v>195</v>
      </c>
      <c r="H135" s="167">
        <v>192</v>
      </c>
      <c r="I135" s="239">
        <v>195</v>
      </c>
      <c r="J135" s="167">
        <v>186</v>
      </c>
      <c r="K135" s="167">
        <v>188</v>
      </c>
      <c r="L135" s="241"/>
      <c r="M135" s="190">
        <f>AVERAGE(LARGE(C135:L135,1),LARGE(C135:L135,2),LARGE(C135:L135,3),LARGE(C135:L135,4),LARGE(C135:L135,5))</f>
        <v>192.2</v>
      </c>
    </row>
    <row r="136" spans="1:13" ht="19.5" customHeight="1">
      <c r="A136" s="103">
        <v>4</v>
      </c>
      <c r="B136" s="242" t="s">
        <v>41</v>
      </c>
      <c r="C136" s="243">
        <v>177</v>
      </c>
      <c r="D136" s="244">
        <v>177</v>
      </c>
      <c r="E136" s="245">
        <v>183</v>
      </c>
      <c r="F136" s="245">
        <v>176</v>
      </c>
      <c r="G136" s="245">
        <v>189</v>
      </c>
      <c r="H136" s="245">
        <v>195</v>
      </c>
      <c r="I136" s="245">
        <v>190</v>
      </c>
      <c r="J136" s="245">
        <v>182</v>
      </c>
      <c r="K136" s="245">
        <v>189</v>
      </c>
      <c r="L136" s="246">
        <v>184</v>
      </c>
      <c r="M136" s="247">
        <f>AVERAGE(LARGE(C136:L136,1),LARGE(C136:L136,2),LARGE(C136:L136,3),LARGE(C136:L136,4),LARGE(C136:L136,5))</f>
        <v>189.4</v>
      </c>
    </row>
    <row r="137" spans="1:13" ht="19.5" customHeight="1">
      <c r="A137" s="103">
        <v>5</v>
      </c>
      <c r="B137" s="128" t="s">
        <v>11</v>
      </c>
      <c r="C137" s="131">
        <v>187</v>
      </c>
      <c r="D137" s="167">
        <v>177</v>
      </c>
      <c r="E137" s="167">
        <v>188</v>
      </c>
      <c r="F137" s="167">
        <v>191</v>
      </c>
      <c r="G137" s="167">
        <v>182</v>
      </c>
      <c r="H137" s="167">
        <v>188</v>
      </c>
      <c r="I137" s="167">
        <v>186</v>
      </c>
      <c r="J137" s="167">
        <v>181</v>
      </c>
      <c r="K137" s="213"/>
      <c r="L137" s="189">
        <v>181</v>
      </c>
      <c r="M137" s="190">
        <f>AVERAGE(LARGE(C137:L137,1),LARGE(C137:L137,2),LARGE(C137:L137,3),LARGE(C137:L137,4),LARGE(C137:L137,5))</f>
        <v>188</v>
      </c>
    </row>
    <row r="138" spans="1:13" ht="19.5" customHeight="1">
      <c r="A138" s="103">
        <v>6</v>
      </c>
      <c r="B138" s="163" t="s">
        <v>19</v>
      </c>
      <c r="C138" s="127">
        <v>186</v>
      </c>
      <c r="D138" s="167">
        <v>191</v>
      </c>
      <c r="E138" s="167">
        <v>188</v>
      </c>
      <c r="F138" s="167">
        <v>182</v>
      </c>
      <c r="G138" s="167">
        <v>178</v>
      </c>
      <c r="H138" s="167">
        <v>172</v>
      </c>
      <c r="I138" s="213"/>
      <c r="J138" s="167">
        <v>176</v>
      </c>
      <c r="K138" s="167">
        <v>189</v>
      </c>
      <c r="L138" s="166"/>
      <c r="M138" s="190">
        <f>AVERAGE(LARGE(C138:L138,1),LARGE(C138:L138,2),LARGE(C138:L138,3),LARGE(C138:L138,4),LARGE(C138:L138,5))</f>
        <v>187.2</v>
      </c>
    </row>
    <row r="139" spans="1:13" ht="19.5" customHeight="1">
      <c r="A139" s="103">
        <v>7</v>
      </c>
      <c r="B139" s="128" t="s">
        <v>31</v>
      </c>
      <c r="C139" s="131">
        <v>139</v>
      </c>
      <c r="D139" s="167">
        <v>180</v>
      </c>
      <c r="E139" s="167">
        <v>156</v>
      </c>
      <c r="F139" s="167">
        <v>177</v>
      </c>
      <c r="G139" s="167">
        <v>181</v>
      </c>
      <c r="H139" s="167">
        <v>184</v>
      </c>
      <c r="I139" s="167">
        <v>181</v>
      </c>
      <c r="J139" s="166"/>
      <c r="K139" s="167">
        <v>180</v>
      </c>
      <c r="L139" s="166"/>
      <c r="M139" s="190">
        <f>AVERAGE(LARGE(C139:L139,1),LARGE(C139:L139,2),LARGE(C139:L139,3),LARGE(C139:L139,4),LARGE(C139:L139,5))</f>
        <v>181.2</v>
      </c>
    </row>
    <row r="140" spans="1:13" ht="19.5" customHeight="1">
      <c r="A140" s="103">
        <v>8</v>
      </c>
      <c r="B140" s="128" t="s">
        <v>66</v>
      </c>
      <c r="C140" s="131">
        <v>185</v>
      </c>
      <c r="D140" s="124"/>
      <c r="E140" s="166"/>
      <c r="F140" s="167">
        <v>182</v>
      </c>
      <c r="G140" s="167">
        <v>185</v>
      </c>
      <c r="H140" s="167">
        <v>175</v>
      </c>
      <c r="I140" s="166"/>
      <c r="J140" s="167">
        <v>154</v>
      </c>
      <c r="K140" s="213"/>
      <c r="L140" s="166"/>
      <c r="M140" s="190">
        <f>AVERAGE(LARGE(C140:L140,1),LARGE(C140:L140,2),LARGE(C140:L140,3),LARGE(C140:L140,4),LARGE(C140:L140,5))</f>
        <v>176.2</v>
      </c>
    </row>
    <row r="141" spans="1:13" ht="19.5" customHeight="1">
      <c r="A141" s="103">
        <v>9</v>
      </c>
      <c r="B141" s="128" t="s">
        <v>47</v>
      </c>
      <c r="C141" s="131">
        <v>167</v>
      </c>
      <c r="D141" s="188">
        <v>174</v>
      </c>
      <c r="E141" s="218"/>
      <c r="F141" s="217">
        <v>179</v>
      </c>
      <c r="G141" s="217">
        <v>154</v>
      </c>
      <c r="H141" s="218"/>
      <c r="I141" s="218"/>
      <c r="J141" s="167">
        <v>181</v>
      </c>
      <c r="K141" s="167">
        <v>170</v>
      </c>
      <c r="L141" s="166"/>
      <c r="M141" s="190">
        <f>AVERAGE(LARGE(C141:L141,1),LARGE(C141:L141,2),LARGE(C141:L141,3),LARGE(C141:L141,4),LARGE(C141:L141,5))</f>
        <v>174.2</v>
      </c>
    </row>
    <row r="142" spans="1:13" ht="19.5" customHeight="1">
      <c r="A142" s="103">
        <v>10</v>
      </c>
      <c r="B142" s="248" t="s">
        <v>122</v>
      </c>
      <c r="C142" s="249"/>
      <c r="D142" s="250"/>
      <c r="E142" s="250"/>
      <c r="F142" s="251">
        <v>191</v>
      </c>
      <c r="G142" s="250"/>
      <c r="H142" s="250"/>
      <c r="I142" s="252"/>
      <c r="J142" s="252"/>
      <c r="K142" s="252"/>
      <c r="L142" s="166"/>
      <c r="M142" s="253" t="e">
        <f>AVERAGE(LARGE(C142:L142,1),LARGE(C142:L142,2),LARGE(C142:L142,3),LARGE(C142:L142,4),LARGE(C142:L142,5))</f>
        <v>#VALUE!</v>
      </c>
    </row>
    <row r="143" spans="1:13" ht="19.5" customHeight="1">
      <c r="A143" s="103">
        <v>11</v>
      </c>
      <c r="B143" s="128" t="s">
        <v>23</v>
      </c>
      <c r="C143" s="124"/>
      <c r="D143" s="196"/>
      <c r="E143" s="167">
        <v>184</v>
      </c>
      <c r="F143" s="167">
        <v>179</v>
      </c>
      <c r="G143" s="166"/>
      <c r="H143" s="166"/>
      <c r="I143" s="166"/>
      <c r="J143" s="166"/>
      <c r="K143" s="213"/>
      <c r="L143" s="166"/>
      <c r="M143" s="121" t="e">
        <f>AVERAGE(LARGE(C143:L143,1),LARGE(C143:L143,2),LARGE(C143:L143,3),LARGE(C143:L143,4),LARGE(C143:L143,5))</f>
        <v>#VALUE!</v>
      </c>
    </row>
    <row r="144" spans="1:13" ht="19.5" customHeight="1">
      <c r="A144" s="103">
        <v>12</v>
      </c>
      <c r="B144" s="128" t="s">
        <v>85</v>
      </c>
      <c r="C144" s="124"/>
      <c r="D144" s="196"/>
      <c r="E144" s="166"/>
      <c r="F144" s="167">
        <v>192</v>
      </c>
      <c r="G144" s="166"/>
      <c r="H144" s="166"/>
      <c r="I144" s="166"/>
      <c r="J144" s="166"/>
      <c r="K144" s="213"/>
      <c r="L144" s="166"/>
      <c r="M144" s="121" t="e">
        <f>AVERAGE(LARGE(C144:L144,1),LARGE(C144:L144,2),LARGE(C144:L144,3),LARGE(C144:L144,4),LARGE(C144:L144,5))</f>
        <v>#VALUE!</v>
      </c>
    </row>
    <row r="145" spans="1:13" ht="19.5" customHeight="1">
      <c r="A145" s="103">
        <v>13</v>
      </c>
      <c r="B145" s="128" t="s">
        <v>86</v>
      </c>
      <c r="C145" s="124"/>
      <c r="D145" s="196"/>
      <c r="E145" s="166"/>
      <c r="F145" s="167">
        <v>188</v>
      </c>
      <c r="G145" s="167">
        <v>157</v>
      </c>
      <c r="H145" s="166"/>
      <c r="I145" s="167">
        <v>178</v>
      </c>
      <c r="J145" s="167">
        <v>181</v>
      </c>
      <c r="K145" s="213"/>
      <c r="L145" s="166"/>
      <c r="M145" s="121" t="e">
        <f>AVERAGE(LARGE(C145:L145,1),LARGE(C145:L145,2),LARGE(C145:L145,3),LARGE(C145:L145,4),LARGE(C145:L145,5))</f>
        <v>#VALUE!</v>
      </c>
    </row>
    <row r="146" spans="1:13" ht="19.5" customHeight="1">
      <c r="A146" s="103">
        <v>14</v>
      </c>
      <c r="B146" s="128" t="s">
        <v>15</v>
      </c>
      <c r="C146" s="131">
        <v>171</v>
      </c>
      <c r="D146" s="196"/>
      <c r="E146" s="218"/>
      <c r="F146" s="218"/>
      <c r="G146" s="218"/>
      <c r="H146" s="218"/>
      <c r="I146" s="218"/>
      <c r="J146" s="218"/>
      <c r="K146" s="213"/>
      <c r="L146" s="166"/>
      <c r="M146" s="121" t="e">
        <f>AVERAGE(LARGE(C146:L146,1),LARGE(C146:L146,2),LARGE(C146:L146,3),LARGE(C146:L146,4),LARGE(C146:L146,5))</f>
        <v>#VALUE!</v>
      </c>
    </row>
    <row r="147" spans="1:13" ht="19.5" customHeight="1">
      <c r="A147" s="103">
        <v>15</v>
      </c>
      <c r="B147" s="248" t="s">
        <v>200</v>
      </c>
      <c r="C147" s="249"/>
      <c r="D147" s="254"/>
      <c r="E147" s="250"/>
      <c r="F147" s="250"/>
      <c r="G147" s="250"/>
      <c r="H147" s="250"/>
      <c r="I147" s="251">
        <v>191</v>
      </c>
      <c r="J147" s="250"/>
      <c r="K147" s="252"/>
      <c r="L147" s="250"/>
      <c r="M147" s="253"/>
    </row>
    <row r="148" spans="1:13" ht="25.5" customHeight="1">
      <c r="A148" s="96"/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95"/>
    </row>
    <row r="149" spans="1:13" ht="25.5" customHeight="1">
      <c r="A149" s="96"/>
      <c r="B149" s="97" t="s">
        <v>230</v>
      </c>
      <c r="C149" s="97"/>
      <c r="D149" s="97"/>
      <c r="E149" s="97"/>
      <c r="F149" s="97"/>
      <c r="G149" s="237" t="s">
        <v>221</v>
      </c>
      <c r="H149" s="237"/>
      <c r="I149" s="237"/>
      <c r="J149" s="237"/>
      <c r="K149" s="237"/>
      <c r="L149" s="102"/>
      <c r="M149" s="95"/>
    </row>
    <row r="150" spans="1:13" ht="19.5" customHeight="1">
      <c r="A150" s="96"/>
      <c r="B150" s="101"/>
      <c r="C150" s="102">
        <v>1</v>
      </c>
      <c r="D150" s="102">
        <v>2</v>
      </c>
      <c r="E150" s="102">
        <v>3</v>
      </c>
      <c r="F150" s="102">
        <v>4</v>
      </c>
      <c r="G150" s="102">
        <v>5</v>
      </c>
      <c r="H150" s="102">
        <v>6</v>
      </c>
      <c r="I150" s="102">
        <v>7</v>
      </c>
      <c r="J150" s="102">
        <v>8</v>
      </c>
      <c r="K150" s="102">
        <v>9</v>
      </c>
      <c r="L150" s="102">
        <v>10</v>
      </c>
      <c r="M150" s="95"/>
    </row>
    <row r="151" spans="1:13" ht="19.5" customHeight="1">
      <c r="A151" s="100"/>
      <c r="B151" s="104" t="s">
        <v>3</v>
      </c>
      <c r="C151" s="105">
        <v>43548</v>
      </c>
      <c r="D151" s="106">
        <v>43583</v>
      </c>
      <c r="E151" s="106">
        <v>43603</v>
      </c>
      <c r="F151" s="107">
        <v>43610</v>
      </c>
      <c r="G151" s="106">
        <v>43639</v>
      </c>
      <c r="H151" s="106">
        <v>43660</v>
      </c>
      <c r="I151" s="106">
        <v>43708</v>
      </c>
      <c r="J151" s="106">
        <v>43737</v>
      </c>
      <c r="K151" s="106">
        <v>43751</v>
      </c>
      <c r="L151" s="106">
        <v>43785</v>
      </c>
      <c r="M151" s="108" t="s">
        <v>214</v>
      </c>
    </row>
    <row r="152" spans="1:13" ht="19.5" customHeight="1">
      <c r="A152" s="103">
        <v>1</v>
      </c>
      <c r="B152" s="255" t="s">
        <v>70</v>
      </c>
      <c r="C152" s="256">
        <v>189</v>
      </c>
      <c r="D152" s="257">
        <v>184</v>
      </c>
      <c r="E152" s="257">
        <v>175</v>
      </c>
      <c r="F152" s="167">
        <v>184</v>
      </c>
      <c r="G152" s="79">
        <v>189</v>
      </c>
      <c r="H152" s="213"/>
      <c r="I152" s="167">
        <v>190</v>
      </c>
      <c r="J152" s="79">
        <v>191</v>
      </c>
      <c r="K152" s="166"/>
      <c r="L152" s="166"/>
      <c r="M152" s="240">
        <f>AVERAGE(LARGE(C152:L152,1),LARGE(C152:L152,2),LARGE(C152:L152,3),LARGE(C152:L152,4),LARGE(C152:L152,5))</f>
        <v>188.6</v>
      </c>
    </row>
    <row r="153" spans="1:13" ht="19.5" customHeight="1">
      <c r="A153" s="103">
        <v>2</v>
      </c>
      <c r="B153" s="128" t="s">
        <v>80</v>
      </c>
      <c r="C153" s="124"/>
      <c r="D153" s="166"/>
      <c r="E153" s="166"/>
      <c r="F153" s="167">
        <v>174</v>
      </c>
      <c r="G153" s="166"/>
      <c r="H153" s="166"/>
      <c r="I153" s="167">
        <v>189</v>
      </c>
      <c r="J153" s="167">
        <v>183</v>
      </c>
      <c r="K153" s="79">
        <v>195</v>
      </c>
      <c r="L153" s="79">
        <v>191</v>
      </c>
      <c r="M153" s="190">
        <f>AVERAGE(LARGE(C153:L153,1),LARGE(C153:L153,2),LARGE(C153:L153,3),LARGE(C153:L153,4),LARGE(C153:L153,5))</f>
        <v>186.4</v>
      </c>
    </row>
    <row r="154" spans="1:13" ht="19.5" customHeight="1">
      <c r="A154" s="103">
        <v>3</v>
      </c>
      <c r="B154" s="248" t="s">
        <v>46</v>
      </c>
      <c r="C154" s="249"/>
      <c r="D154" s="254"/>
      <c r="E154" s="250"/>
      <c r="F154" s="250"/>
      <c r="G154" s="250"/>
      <c r="H154" s="258">
        <v>188</v>
      </c>
      <c r="I154" s="251">
        <v>167</v>
      </c>
      <c r="J154" s="251">
        <v>178</v>
      </c>
      <c r="K154" s="251">
        <v>189</v>
      </c>
      <c r="L154" s="259">
        <v>182</v>
      </c>
      <c r="M154" s="260">
        <f>AVERAGE(LARGE(C154:L154,1),LARGE(C154:L154,2),LARGE(C154:L154,3),LARGE(C154:L154,4),LARGE(C154:L154,5))</f>
        <v>180.8</v>
      </c>
    </row>
    <row r="155" spans="1:13" ht="19.5" customHeight="1">
      <c r="A155" s="103">
        <v>4</v>
      </c>
      <c r="B155" s="248" t="s">
        <v>68</v>
      </c>
      <c r="C155" s="261">
        <v>161</v>
      </c>
      <c r="D155" s="251">
        <v>158</v>
      </c>
      <c r="E155" s="250"/>
      <c r="F155" s="251">
        <v>174</v>
      </c>
      <c r="G155" s="250"/>
      <c r="H155" s="251">
        <v>177</v>
      </c>
      <c r="I155" s="258">
        <v>191</v>
      </c>
      <c r="J155" s="252"/>
      <c r="K155" s="251">
        <v>175</v>
      </c>
      <c r="L155" s="251">
        <v>168</v>
      </c>
      <c r="M155" s="260">
        <f>AVERAGE(LARGE(C155:L155,1),LARGE(C155:L155,2),LARGE(C155:L155,3),LARGE(C155:L155,4),LARGE(C155:L155,5))</f>
        <v>177</v>
      </c>
    </row>
    <row r="156" spans="1:13" ht="19.5" customHeight="1">
      <c r="A156" s="103">
        <v>5</v>
      </c>
      <c r="B156" s="128" t="s">
        <v>231</v>
      </c>
      <c r="C156" s="124"/>
      <c r="D156" s="223"/>
      <c r="E156" s="166"/>
      <c r="F156" s="79">
        <v>190</v>
      </c>
      <c r="G156" s="166"/>
      <c r="H156" s="166"/>
      <c r="I156" s="213"/>
      <c r="J156" s="167">
        <v>173</v>
      </c>
      <c r="K156" s="213"/>
      <c r="L156" s="166"/>
      <c r="M156" s="121" t="e">
        <f>AVERAGE(LARGE(C156:L156,1),LARGE(C156:L156,2),LARGE(C156:L156,3),LARGE(C156:L156,4),LARGE(C156:L156,5))</f>
        <v>#VALUE!</v>
      </c>
    </row>
    <row r="157" spans="1:13" ht="19.5" customHeight="1">
      <c r="A157" s="103">
        <v>6</v>
      </c>
      <c r="B157" s="163" t="s">
        <v>92</v>
      </c>
      <c r="C157" s="122"/>
      <c r="D157" s="79">
        <v>181</v>
      </c>
      <c r="E157" s="166"/>
      <c r="F157" s="166"/>
      <c r="G157" s="167">
        <v>169</v>
      </c>
      <c r="H157" s="166"/>
      <c r="I157" s="166"/>
      <c r="J157" s="167">
        <v>184</v>
      </c>
      <c r="K157" s="167">
        <v>176</v>
      </c>
      <c r="L157" s="166"/>
      <c r="M157" s="121" t="e">
        <f>AVERAGE(LARGE(C157:L157,1),LARGE(C157:L157,2),LARGE(C157:L157,3),LARGE(C157:L157,4),LARGE(C157:L157,5))</f>
        <v>#VALUE!</v>
      </c>
    </row>
    <row r="158" spans="1:13" ht="19.5" customHeight="1">
      <c r="A158" s="103">
        <v>7</v>
      </c>
      <c r="B158" s="163" t="s">
        <v>38</v>
      </c>
      <c r="C158" s="122"/>
      <c r="D158" s="167">
        <v>176</v>
      </c>
      <c r="E158" s="166"/>
      <c r="F158" s="166"/>
      <c r="G158" s="166"/>
      <c r="H158" s="166"/>
      <c r="I158" s="166"/>
      <c r="J158" s="166"/>
      <c r="K158" s="166"/>
      <c r="L158" s="166"/>
      <c r="M158" s="121" t="e">
        <f>AVERAGE(LARGE(C158:L158,1),LARGE(C158:L158,2),LARGE(C158:L158,3),LARGE(C158:L158,4),LARGE(C158:L158,5))</f>
        <v>#VALUE!</v>
      </c>
    </row>
    <row r="159" spans="1:13" ht="19.5" customHeight="1">
      <c r="A159" s="103">
        <v>8</v>
      </c>
      <c r="B159" s="128" t="s">
        <v>83</v>
      </c>
      <c r="C159" s="124"/>
      <c r="D159" s="196"/>
      <c r="E159" s="166"/>
      <c r="F159" s="217">
        <v>185</v>
      </c>
      <c r="G159" s="167">
        <v>140</v>
      </c>
      <c r="H159" s="166"/>
      <c r="I159" s="167">
        <v>181</v>
      </c>
      <c r="J159" s="167">
        <v>161</v>
      </c>
      <c r="K159" s="166"/>
      <c r="L159" s="166"/>
      <c r="M159" s="121" t="e">
        <f>AVERAGE(LARGE(C159:L159,1),LARGE(C159:L159,2),LARGE(C159:L159,3),LARGE(C159:L159,4),LARGE(C159:L159,5))</f>
        <v>#VALUE!</v>
      </c>
    </row>
    <row r="160" spans="1:13" ht="19.5" customHeight="1">
      <c r="A160" s="103">
        <v>9</v>
      </c>
      <c r="B160" s="128" t="s">
        <v>141</v>
      </c>
      <c r="C160" s="124"/>
      <c r="D160" s="196"/>
      <c r="E160" s="166"/>
      <c r="F160" s="167">
        <v>175</v>
      </c>
      <c r="G160" s="166"/>
      <c r="H160" s="166"/>
      <c r="I160" s="166"/>
      <c r="J160" s="166"/>
      <c r="K160" s="166"/>
      <c r="L160" s="166"/>
      <c r="M160" s="121" t="e">
        <f>AVERAGE(LARGE(C160:L160,1),LARGE(C160:L160,2),LARGE(C160:L160,3),LARGE(C160:L160,4),LARGE(C160:L160,5))</f>
        <v>#VALUE!</v>
      </c>
    </row>
    <row r="161" spans="1:13" ht="19.5" customHeight="1">
      <c r="A161" s="103">
        <v>10</v>
      </c>
      <c r="B161" s="128" t="s">
        <v>134</v>
      </c>
      <c r="C161" s="124"/>
      <c r="D161" s="196"/>
      <c r="E161" s="166"/>
      <c r="F161" s="167">
        <v>121</v>
      </c>
      <c r="G161" s="166"/>
      <c r="H161" s="218"/>
      <c r="I161" s="218"/>
      <c r="J161" s="217">
        <v>161</v>
      </c>
      <c r="K161" s="218"/>
      <c r="L161" s="166"/>
      <c r="M161" s="121" t="e">
        <f>AVERAGE(LARGE(C161:L161,1),LARGE(C161:L161,2),LARGE(C161:L161,3),LARGE(C161:L161,4),LARGE(C161:L161,5))</f>
        <v>#VALUE!</v>
      </c>
    </row>
    <row r="162" spans="1:13" ht="19.5" customHeight="1">
      <c r="A162" s="103">
        <v>11</v>
      </c>
      <c r="B162" s="128" t="s">
        <v>69</v>
      </c>
      <c r="C162" s="131">
        <v>73</v>
      </c>
      <c r="D162" s="196"/>
      <c r="E162" s="262">
        <v>168</v>
      </c>
      <c r="F162" s="217">
        <v>113</v>
      </c>
      <c r="G162" s="217">
        <v>153</v>
      </c>
      <c r="H162" s="218"/>
      <c r="I162" s="218"/>
      <c r="J162" s="218"/>
      <c r="K162" s="218"/>
      <c r="L162" s="166"/>
      <c r="M162" s="121" t="e">
        <f>AVERAGE(LARGE(C162:L162,1),LARGE(C162:L162,2),LARGE(C162:L162,3),LARGE(C162:L162,4),LARGE(C162:L162,5))</f>
        <v>#VALUE!</v>
      </c>
    </row>
    <row r="163" spans="1:13" ht="19.5" customHeight="1">
      <c r="A163" s="103">
        <v>12</v>
      </c>
      <c r="B163" s="248" t="s">
        <v>44</v>
      </c>
      <c r="C163" s="249"/>
      <c r="D163" s="254"/>
      <c r="E163" s="250"/>
      <c r="F163" s="251">
        <v>172</v>
      </c>
      <c r="G163" s="251">
        <v>182</v>
      </c>
      <c r="H163" s="250"/>
      <c r="I163" s="251">
        <v>182</v>
      </c>
      <c r="J163" s="250"/>
      <c r="K163" s="250"/>
      <c r="L163" s="166"/>
      <c r="M163" s="253" t="e">
        <f>AVERAGE(LARGE(C163:L163,1),LARGE(C163:L163,2),LARGE(C163:L163,3),LARGE(C163:L163,4),LARGE(C163:L163,5))</f>
        <v>#VALUE!</v>
      </c>
    </row>
    <row r="164" spans="1:13" ht="19.5" customHeight="1">
      <c r="A164" s="103">
        <v>13</v>
      </c>
      <c r="B164" s="163" t="s">
        <v>184</v>
      </c>
      <c r="C164" s="166"/>
      <c r="D164" s="166"/>
      <c r="E164" s="166"/>
      <c r="F164" s="166"/>
      <c r="G164" s="166"/>
      <c r="H164" s="263">
        <v>193</v>
      </c>
      <c r="I164" s="263">
        <v>194</v>
      </c>
      <c r="J164" s="213"/>
      <c r="K164" s="213"/>
      <c r="L164" s="166"/>
      <c r="M164" s="121"/>
    </row>
    <row r="165" spans="1:13" ht="25.5" customHeight="1">
      <c r="A165" s="96"/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95"/>
    </row>
    <row r="166" spans="1:13" ht="25.5" customHeight="1">
      <c r="A166" s="96"/>
      <c r="B166" s="97" t="s">
        <v>232</v>
      </c>
      <c r="C166" s="97"/>
      <c r="D166" s="97"/>
      <c r="E166" s="97"/>
      <c r="F166" s="97"/>
      <c r="G166" s="237" t="s">
        <v>221</v>
      </c>
      <c r="H166" s="237"/>
      <c r="I166" s="237"/>
      <c r="J166" s="237"/>
      <c r="K166" s="237"/>
      <c r="L166" s="102"/>
      <c r="M166" s="95"/>
    </row>
    <row r="167" spans="1:13" ht="19.5" customHeight="1">
      <c r="A167" s="96"/>
      <c r="B167" s="101"/>
      <c r="C167" s="102">
        <v>1</v>
      </c>
      <c r="D167" s="102">
        <v>2</v>
      </c>
      <c r="E167" s="102">
        <v>3</v>
      </c>
      <c r="F167" s="102">
        <v>4</v>
      </c>
      <c r="G167" s="102">
        <v>5</v>
      </c>
      <c r="H167" s="102">
        <v>6</v>
      </c>
      <c r="I167" s="102">
        <v>7</v>
      </c>
      <c r="J167" s="102">
        <v>8</v>
      </c>
      <c r="K167" s="102">
        <v>9</v>
      </c>
      <c r="L167" s="102">
        <v>10</v>
      </c>
      <c r="M167" s="95"/>
    </row>
    <row r="168" spans="1:13" ht="19.5" customHeight="1">
      <c r="A168" s="100"/>
      <c r="B168" s="104" t="s">
        <v>3</v>
      </c>
      <c r="C168" s="105">
        <v>43548</v>
      </c>
      <c r="D168" s="106">
        <v>43583</v>
      </c>
      <c r="E168" s="106">
        <v>43603</v>
      </c>
      <c r="F168" s="107">
        <v>43610</v>
      </c>
      <c r="G168" s="106">
        <v>43639</v>
      </c>
      <c r="H168" s="106">
        <v>43660</v>
      </c>
      <c r="I168" s="106">
        <v>43708</v>
      </c>
      <c r="J168" s="106">
        <v>43737</v>
      </c>
      <c r="K168" s="106">
        <v>43751</v>
      </c>
      <c r="L168" s="106">
        <v>43785</v>
      </c>
      <c r="M168" s="108" t="s">
        <v>214</v>
      </c>
    </row>
    <row r="169" spans="1:13" ht="19.5" customHeight="1">
      <c r="A169" s="103">
        <v>1</v>
      </c>
      <c r="B169" s="242" t="s">
        <v>72</v>
      </c>
      <c r="C169" s="243">
        <v>177</v>
      </c>
      <c r="D169" s="245">
        <v>174</v>
      </c>
      <c r="E169" s="264"/>
      <c r="F169" s="264"/>
      <c r="G169" s="264"/>
      <c r="H169" s="264"/>
      <c r="I169" s="264"/>
      <c r="J169" s="264"/>
      <c r="K169" s="264"/>
      <c r="L169" s="264"/>
      <c r="M169" s="265"/>
    </row>
    <row r="170" spans="1:13" ht="25.5" customHeight="1">
      <c r="A170" s="236"/>
      <c r="B170" s="236"/>
      <c r="C170" s="236"/>
      <c r="D170" s="236"/>
      <c r="E170" s="236"/>
      <c r="F170" s="236"/>
      <c r="G170" s="236"/>
      <c r="H170" s="236"/>
      <c r="I170" s="236"/>
      <c r="J170" s="236"/>
      <c r="K170" s="95"/>
      <c r="L170" s="95"/>
      <c r="M170" s="95"/>
    </row>
    <row r="171" spans="1:13" ht="26.25" customHeight="1">
      <c r="A171" s="96"/>
      <c r="B171" s="97" t="s">
        <v>233</v>
      </c>
      <c r="C171" s="97"/>
      <c r="D171" s="97"/>
      <c r="E171" s="98" t="s">
        <v>221</v>
      </c>
      <c r="F171" s="98"/>
      <c r="G171" s="98"/>
      <c r="H171" s="98"/>
      <c r="I171" s="99"/>
      <c r="J171" s="99"/>
      <c r="K171" s="95"/>
      <c r="L171" s="95"/>
      <c r="M171" s="95"/>
    </row>
    <row r="172" spans="1:13" ht="18.75" customHeight="1">
      <c r="A172" s="96"/>
      <c r="B172" s="101"/>
      <c r="C172" s="102">
        <v>1</v>
      </c>
      <c r="D172" s="102">
        <v>2</v>
      </c>
      <c r="E172" s="102">
        <v>3</v>
      </c>
      <c r="F172" s="102">
        <v>4</v>
      </c>
      <c r="G172" s="102">
        <v>5</v>
      </c>
      <c r="H172" s="102">
        <v>6</v>
      </c>
      <c r="I172" s="102">
        <v>7</v>
      </c>
      <c r="J172" s="102">
        <v>8</v>
      </c>
      <c r="K172" s="102">
        <v>9</v>
      </c>
      <c r="L172" s="102">
        <v>10</v>
      </c>
      <c r="M172" s="95"/>
    </row>
    <row r="173" spans="1:13" ht="18.75" customHeight="1">
      <c r="A173" s="100"/>
      <c r="B173" s="104" t="s">
        <v>3</v>
      </c>
      <c r="C173" s="105">
        <v>43541</v>
      </c>
      <c r="D173" s="106">
        <v>43582</v>
      </c>
      <c r="E173" s="106">
        <v>43604</v>
      </c>
      <c r="F173" s="107">
        <v>43610</v>
      </c>
      <c r="G173" s="106">
        <v>43667</v>
      </c>
      <c r="H173" s="106">
        <v>43673</v>
      </c>
      <c r="I173" s="106">
        <v>43695</v>
      </c>
      <c r="J173" s="106">
        <v>43730</v>
      </c>
      <c r="K173" s="106">
        <v>43758</v>
      </c>
      <c r="L173" s="106">
        <v>43786</v>
      </c>
      <c r="M173" s="108" t="s">
        <v>214</v>
      </c>
    </row>
    <row r="174" spans="1:13" ht="23.25" customHeight="1">
      <c r="A174" s="103">
        <v>1</v>
      </c>
      <c r="B174" s="255" t="s">
        <v>31</v>
      </c>
      <c r="C174" s="266">
        <v>81.45</v>
      </c>
      <c r="D174" s="267">
        <v>65.08</v>
      </c>
      <c r="E174" s="267">
        <v>97.41</v>
      </c>
      <c r="F174" s="268">
        <v>100</v>
      </c>
      <c r="G174" s="268">
        <v>100</v>
      </c>
      <c r="H174" s="268">
        <v>100</v>
      </c>
      <c r="I174" s="268">
        <v>100</v>
      </c>
      <c r="J174" s="268">
        <v>100</v>
      </c>
      <c r="K174" s="268">
        <v>100</v>
      </c>
      <c r="L174" s="269"/>
      <c r="M174" s="240">
        <f>AVERAGE(LARGE(C174:L174,1),LARGE(C174:L174,2),LARGE(C174:L174,3),LARGE(C174:L174,4),LARGE(C174:L174,5))</f>
        <v>100</v>
      </c>
    </row>
    <row r="175" spans="1:13" ht="18.75" customHeight="1">
      <c r="A175" s="103">
        <v>2</v>
      </c>
      <c r="B175" s="248" t="s">
        <v>41</v>
      </c>
      <c r="C175" s="270">
        <v>78.05</v>
      </c>
      <c r="D175" s="270">
        <v>96.54</v>
      </c>
      <c r="E175" s="271">
        <v>79.43</v>
      </c>
      <c r="F175" s="271">
        <v>61.5</v>
      </c>
      <c r="G175" s="271">
        <v>37.22</v>
      </c>
      <c r="H175" s="271">
        <v>89.87</v>
      </c>
      <c r="I175" s="271">
        <v>86.48</v>
      </c>
      <c r="J175" s="271">
        <v>40.87</v>
      </c>
      <c r="K175" s="271">
        <v>85.73</v>
      </c>
      <c r="L175" s="272">
        <v>100</v>
      </c>
      <c r="M175" s="260">
        <f>AVERAGE(LARGE(C175:L175,1),LARGE(C175:L175,2),LARGE(C175:L175,3),LARGE(C175:L175,4),LARGE(C175:L175,5))</f>
        <v>91.72400000000002</v>
      </c>
    </row>
    <row r="176" spans="1:13" ht="18.75" customHeight="1">
      <c r="A176" s="103">
        <v>3</v>
      </c>
      <c r="B176" s="128" t="s">
        <v>86</v>
      </c>
      <c r="C176" s="124"/>
      <c r="D176" s="266">
        <v>58.3</v>
      </c>
      <c r="E176" s="273">
        <v>100</v>
      </c>
      <c r="F176" s="274">
        <v>71.74</v>
      </c>
      <c r="G176" s="275"/>
      <c r="H176" s="274">
        <v>69.07</v>
      </c>
      <c r="I176" s="274">
        <v>63.45</v>
      </c>
      <c r="J176" s="274">
        <v>89.62</v>
      </c>
      <c r="K176" s="274">
        <v>53.09</v>
      </c>
      <c r="L176" s="269"/>
      <c r="M176" s="190">
        <f>AVERAGE(LARGE(C176:L176,1),LARGE(C176:L176,2),LARGE(C176:L176,3),LARGE(C176:L176,4),LARGE(C176:L176,5))</f>
        <v>78.776</v>
      </c>
    </row>
    <row r="177" spans="1:13" ht="18.75" customHeight="1">
      <c r="A177" s="103">
        <v>4</v>
      </c>
      <c r="B177" s="128" t="s">
        <v>83</v>
      </c>
      <c r="C177" s="124"/>
      <c r="D177" s="266">
        <v>66.12</v>
      </c>
      <c r="E177" s="267">
        <v>58.55</v>
      </c>
      <c r="F177" s="267">
        <v>61.29</v>
      </c>
      <c r="G177" s="267">
        <v>77.28</v>
      </c>
      <c r="H177" s="267">
        <v>68.59</v>
      </c>
      <c r="I177" s="267">
        <v>38.83</v>
      </c>
      <c r="J177" s="267">
        <v>60.34</v>
      </c>
      <c r="K177" s="269"/>
      <c r="L177" s="269"/>
      <c r="M177" s="190">
        <f>AVERAGE(LARGE(C177:L177,1),LARGE(C177:L177,2),LARGE(C177:L177,3),LARGE(C177:L177,4),LARGE(C177:L177,5))</f>
        <v>66.724</v>
      </c>
    </row>
    <row r="178" spans="1:13" ht="18.75" customHeight="1">
      <c r="A178" s="103">
        <v>5</v>
      </c>
      <c r="B178" s="248" t="s">
        <v>43</v>
      </c>
      <c r="C178" s="270">
        <v>47.02</v>
      </c>
      <c r="D178" s="270">
        <v>36.44</v>
      </c>
      <c r="E178" s="271">
        <v>46.46</v>
      </c>
      <c r="F178" s="271">
        <v>33.14</v>
      </c>
      <c r="G178" s="271">
        <v>71.35</v>
      </c>
      <c r="H178" s="276"/>
      <c r="I178" s="271">
        <v>65.78</v>
      </c>
      <c r="J178" s="271">
        <v>51.89</v>
      </c>
      <c r="K178" s="271">
        <v>38.27</v>
      </c>
      <c r="L178" s="271">
        <v>35.11</v>
      </c>
      <c r="M178" s="190">
        <f>AVERAGE(LARGE(C178:L178,1),LARGE(C178:L178,2),LARGE(C178:L178,3),LARGE(C178:L178,4),LARGE(C178:L178,5))</f>
        <v>56.5</v>
      </c>
    </row>
    <row r="179" spans="1:13" ht="18.75" customHeight="1">
      <c r="A179" s="103">
        <v>6</v>
      </c>
      <c r="B179" s="248" t="s">
        <v>122</v>
      </c>
      <c r="C179" s="277"/>
      <c r="D179" s="277"/>
      <c r="E179" s="276"/>
      <c r="F179" s="267">
        <v>98.68</v>
      </c>
      <c r="G179" s="269"/>
      <c r="H179" s="269"/>
      <c r="I179" s="278"/>
      <c r="J179" s="278"/>
      <c r="K179" s="278"/>
      <c r="L179" s="269"/>
      <c r="M179" s="181" t="e">
        <f>AVERAGE(LARGE(C179:L179,1),LARGE(C179:L179,2),LARGE(C179:L179,3),LARGE(C179:L179,4),LARGE(C179:L179,5))</f>
        <v>#VALUE!</v>
      </c>
    </row>
    <row r="180" spans="1:13" ht="22.5" customHeight="1">
      <c r="A180" s="103">
        <v>7</v>
      </c>
      <c r="B180" s="128" t="s">
        <v>137</v>
      </c>
      <c r="C180" s="279"/>
      <c r="D180" s="269"/>
      <c r="E180" s="269"/>
      <c r="F180" s="267">
        <v>37.36</v>
      </c>
      <c r="G180" s="269"/>
      <c r="H180" s="269"/>
      <c r="I180" s="278"/>
      <c r="J180" s="278"/>
      <c r="K180" s="278"/>
      <c r="L180" s="269"/>
      <c r="M180" s="121" t="e">
        <f>AVERAGE(LARGE(C180:L180,1),LARGE(C180:L180,2),LARGE(C180:L180,3),LARGE(C180:L180,4),LARGE(C180:L180,5))</f>
        <v>#VALUE!</v>
      </c>
    </row>
    <row r="181" spans="1:13" ht="18.75" customHeight="1">
      <c r="A181" s="103">
        <v>8</v>
      </c>
      <c r="B181" s="128" t="s">
        <v>112</v>
      </c>
      <c r="C181" s="279"/>
      <c r="D181" s="269"/>
      <c r="E181" s="267">
        <v>42.42</v>
      </c>
      <c r="F181" s="269"/>
      <c r="G181" s="269"/>
      <c r="H181" s="269"/>
      <c r="I181" s="269"/>
      <c r="J181" s="269"/>
      <c r="K181" s="269"/>
      <c r="L181" s="269"/>
      <c r="M181" s="121" t="e">
        <f>AVERAGE(LARGE(C181:L181,1),LARGE(C181:L181,2),LARGE(C181:L181,3),LARGE(C181:L181,4),LARGE(C181:L181,5))</f>
        <v>#VALUE!</v>
      </c>
    </row>
    <row r="182" spans="1:13" ht="18.75" customHeight="1">
      <c r="A182" s="103">
        <v>9</v>
      </c>
      <c r="B182" s="128" t="s">
        <v>38</v>
      </c>
      <c r="C182" s="280">
        <v>100</v>
      </c>
      <c r="D182" s="268">
        <v>100</v>
      </c>
      <c r="E182" s="269"/>
      <c r="F182" s="269"/>
      <c r="G182" s="269"/>
      <c r="H182" s="278"/>
      <c r="I182" s="269"/>
      <c r="J182" s="269"/>
      <c r="K182" s="269"/>
      <c r="L182" s="269"/>
      <c r="M182" s="121" t="e">
        <f>AVERAGE(LARGE(C182:L182,1),LARGE(C182:L182,2),LARGE(C182:L182,3),LARGE(C182:L182,4),LARGE(C182:L182,5))</f>
        <v>#VALUE!</v>
      </c>
    </row>
    <row r="183" spans="1:13" ht="18.75" customHeight="1">
      <c r="A183" s="103">
        <v>10</v>
      </c>
      <c r="B183" s="128" t="s">
        <v>109</v>
      </c>
      <c r="C183" s="279"/>
      <c r="D183" s="269"/>
      <c r="E183" s="267">
        <v>55.33</v>
      </c>
      <c r="F183" s="275"/>
      <c r="G183" s="269"/>
      <c r="H183" s="269"/>
      <c r="I183" s="269"/>
      <c r="J183" s="269"/>
      <c r="K183" s="269"/>
      <c r="L183" s="269"/>
      <c r="M183" s="121" t="e">
        <f>AVERAGE(LARGE(C183:L183,1),LARGE(C183:L183,2),LARGE(C183:L183,3),LARGE(C183:L183,4),LARGE(C183:L183,5))</f>
        <v>#VALUE!</v>
      </c>
    </row>
    <row r="184" spans="1:13" ht="18.75" customHeight="1">
      <c r="A184" s="103">
        <v>11</v>
      </c>
      <c r="B184" s="128" t="s">
        <v>114</v>
      </c>
      <c r="C184" s="279"/>
      <c r="D184" s="279"/>
      <c r="E184" s="267">
        <v>42.37</v>
      </c>
      <c r="F184" s="269"/>
      <c r="G184" s="269"/>
      <c r="H184" s="269"/>
      <c r="I184" s="269"/>
      <c r="J184" s="269"/>
      <c r="K184" s="269"/>
      <c r="L184" s="269"/>
      <c r="M184" s="121" t="e">
        <f>AVERAGE(LARGE(C184:L184,1),LARGE(C184:L184,2),LARGE(C184:L184,3),LARGE(C184:L184,4),LARGE(C184:L184,5))</f>
        <v>#VALUE!</v>
      </c>
    </row>
    <row r="185" spans="1:13" ht="18.75" customHeight="1">
      <c r="A185" s="103">
        <v>12</v>
      </c>
      <c r="B185" s="128" t="s">
        <v>194</v>
      </c>
      <c r="C185" s="279"/>
      <c r="D185" s="279"/>
      <c r="E185" s="269"/>
      <c r="F185" s="269"/>
      <c r="G185" s="269"/>
      <c r="H185" s="269"/>
      <c r="I185" s="269"/>
      <c r="J185" s="269"/>
      <c r="K185" s="269"/>
      <c r="L185" s="267">
        <v>60.3</v>
      </c>
      <c r="M185" s="121" t="e">
        <f>AVERAGE(LARGE(C185:L185,1),LARGE(C185:L185,2),LARGE(C185:L185,3),LARGE(C185:L185,4),LARGE(C185:L185,5))</f>
        <v>#VALUE!</v>
      </c>
    </row>
    <row r="186" spans="1:13" ht="18.75" customHeight="1">
      <c r="A186" s="103">
        <v>13</v>
      </c>
      <c r="B186" s="128" t="s">
        <v>103</v>
      </c>
      <c r="C186" s="279"/>
      <c r="D186" s="279"/>
      <c r="E186" s="274">
        <v>86.57</v>
      </c>
      <c r="F186" s="274">
        <v>76.52</v>
      </c>
      <c r="G186" s="275"/>
      <c r="H186" s="275"/>
      <c r="I186" s="275"/>
      <c r="J186" s="275"/>
      <c r="K186" s="275"/>
      <c r="L186" s="269"/>
      <c r="M186" s="121" t="e">
        <f>AVERAGE(LARGE(C186:L186,1),LARGE(C186:L186,2),LARGE(C186:L186,3),LARGE(C186:L186,4),LARGE(C186:L186,5))</f>
        <v>#VALUE!</v>
      </c>
    </row>
    <row r="187" spans="1:13" ht="18.75" customHeight="1">
      <c r="A187" s="103">
        <v>14</v>
      </c>
      <c r="B187" s="128" t="s">
        <v>85</v>
      </c>
      <c r="C187" s="124"/>
      <c r="D187" s="266">
        <v>76</v>
      </c>
      <c r="E187" s="274">
        <v>88.45</v>
      </c>
      <c r="F187" s="274">
        <v>86.18</v>
      </c>
      <c r="G187" s="274">
        <v>37.08</v>
      </c>
      <c r="H187" s="275"/>
      <c r="I187" s="275"/>
      <c r="J187" s="275"/>
      <c r="K187" s="275"/>
      <c r="L187" s="269"/>
      <c r="M187" s="121" t="e">
        <f>AVERAGE(LARGE(C187:L187,1),LARGE(C187:L187,2),LARGE(C187:L187,3),LARGE(C187:L187,4),LARGE(C187:L187,5))</f>
        <v>#VALUE!</v>
      </c>
    </row>
    <row r="188" spans="1:13" ht="18.75" customHeight="1">
      <c r="A188" s="103">
        <v>15</v>
      </c>
      <c r="B188" s="128" t="s">
        <v>42</v>
      </c>
      <c r="C188" s="266">
        <v>75.17</v>
      </c>
      <c r="D188" s="279"/>
      <c r="E188" s="275"/>
      <c r="F188" s="275"/>
      <c r="G188" s="275"/>
      <c r="H188" s="275"/>
      <c r="I188" s="275"/>
      <c r="J188" s="274">
        <v>83.87</v>
      </c>
      <c r="K188" s="275"/>
      <c r="L188" s="267">
        <v>25.33</v>
      </c>
      <c r="M188" s="121" t="e">
        <f>AVERAGE(LARGE(C188:L188,1),LARGE(C188:L188,2),LARGE(C188:L188,3),LARGE(C188:L188,4),LARGE(C188:L188,5))</f>
        <v>#VALUE!</v>
      </c>
    </row>
    <row r="189" spans="1:13" ht="18.75" customHeight="1">
      <c r="A189" s="103">
        <v>16</v>
      </c>
      <c r="B189" s="128" t="s">
        <v>106</v>
      </c>
      <c r="C189" s="279"/>
      <c r="D189" s="279"/>
      <c r="E189" s="274">
        <v>62.26</v>
      </c>
      <c r="F189" s="275"/>
      <c r="G189" s="275"/>
      <c r="H189" s="275"/>
      <c r="I189" s="275"/>
      <c r="J189" s="275"/>
      <c r="K189" s="275"/>
      <c r="L189" s="269"/>
      <c r="M189" s="121" t="e">
        <f>AVERAGE(LARGE(C189:L189,1),LARGE(C189:L189,2),LARGE(C189:L189,3),LARGE(C189:L189,4),LARGE(C189:L189,5))</f>
        <v>#VALUE!</v>
      </c>
    </row>
    <row r="190" spans="1:13" ht="18.75" customHeight="1">
      <c r="A190" s="103">
        <v>17</v>
      </c>
      <c r="B190" s="128" t="s">
        <v>129</v>
      </c>
      <c r="C190" s="279"/>
      <c r="D190" s="279"/>
      <c r="E190" s="275"/>
      <c r="F190" s="274">
        <v>70.62</v>
      </c>
      <c r="G190" s="275"/>
      <c r="H190" s="275"/>
      <c r="I190" s="275"/>
      <c r="J190" s="275"/>
      <c r="K190" s="275"/>
      <c r="L190" s="269"/>
      <c r="M190" s="121" t="e">
        <f>AVERAGE(LARGE(C190:L190,1),LARGE(C190:L190,2),LARGE(C190:L190,3),LARGE(C190:L190,4),LARGE(C190:L190,5))</f>
        <v>#VALUE!</v>
      </c>
    </row>
    <row r="191" spans="1:13" ht="18.75" customHeight="1">
      <c r="A191" s="103">
        <v>18</v>
      </c>
      <c r="B191" s="128" t="s">
        <v>134</v>
      </c>
      <c r="C191" s="279"/>
      <c r="D191" s="279"/>
      <c r="E191" s="275"/>
      <c r="F191" s="274">
        <v>43.75</v>
      </c>
      <c r="G191" s="275"/>
      <c r="H191" s="275"/>
      <c r="I191" s="274">
        <v>55.43</v>
      </c>
      <c r="J191" s="275"/>
      <c r="K191" s="275"/>
      <c r="L191" s="269"/>
      <c r="M191" s="121" t="e">
        <f>AVERAGE(LARGE(C191:L191,1),LARGE(C191:L191,2),LARGE(C191:L191,3),LARGE(C191:L191,4),LARGE(C191:L191,5))</f>
        <v>#VALUE!</v>
      </c>
    </row>
    <row r="192" spans="1:13" ht="18.75" customHeight="1">
      <c r="A192" s="103">
        <v>19</v>
      </c>
      <c r="B192" s="128" t="s">
        <v>199</v>
      </c>
      <c r="C192" s="279"/>
      <c r="D192" s="279"/>
      <c r="E192" s="275"/>
      <c r="F192" s="275"/>
      <c r="G192" s="275"/>
      <c r="H192" s="275"/>
      <c r="I192" s="274">
        <v>38.32</v>
      </c>
      <c r="J192" s="275"/>
      <c r="K192" s="275"/>
      <c r="L192" s="269"/>
      <c r="M192" s="121" t="e">
        <f>AVERAGE(LARGE(C192:L192,1),LARGE(C192:L192,2),LARGE(C192:L192,3),LARGE(C192:L192,4),LARGE(C192:L192,5))</f>
        <v>#VALUE!</v>
      </c>
    </row>
    <row r="193" spans="1:13" ht="18.75" customHeight="1">
      <c r="A193" s="103">
        <v>20</v>
      </c>
      <c r="B193" s="128" t="s">
        <v>187</v>
      </c>
      <c r="C193" s="279"/>
      <c r="D193" s="279"/>
      <c r="E193" s="275"/>
      <c r="F193" s="275"/>
      <c r="G193" s="275"/>
      <c r="H193" s="274">
        <v>34.3</v>
      </c>
      <c r="I193" s="275"/>
      <c r="J193" s="275"/>
      <c r="K193" s="275"/>
      <c r="L193" s="269"/>
      <c r="M193" s="121" t="e">
        <f>AVERAGE(LARGE(C193:L193,1),LARGE(C193:L193,2),LARGE(C193:L193,3),LARGE(C193:L193,4),LARGE(C193:L193,5))</f>
        <v>#VALUE!</v>
      </c>
    </row>
    <row r="194" spans="1:13" ht="18.75" customHeight="1">
      <c r="A194" s="103">
        <v>21</v>
      </c>
      <c r="B194" s="248" t="s">
        <v>40</v>
      </c>
      <c r="C194" s="270">
        <v>81.45</v>
      </c>
      <c r="D194" s="277"/>
      <c r="E194" s="276"/>
      <c r="F194" s="271">
        <v>41.71</v>
      </c>
      <c r="G194" s="276"/>
      <c r="H194" s="276"/>
      <c r="I194" s="271">
        <v>36.56</v>
      </c>
      <c r="J194" s="276"/>
      <c r="K194" s="276"/>
      <c r="L194" s="276"/>
      <c r="M194" s="253" t="e">
        <f>AVERAGE(LARGE(C194:L194,1),LARGE(C194:L194,2),LARGE(C194:L194,3),LARGE(C194:L194,4),LARGE(C194:L194,5))</f>
        <v>#VALUE!</v>
      </c>
    </row>
    <row r="195" spans="1:13" ht="25.5" customHeight="1">
      <c r="A195" s="93"/>
      <c r="B195" s="199"/>
      <c r="C195" s="199"/>
      <c r="D195" s="199"/>
      <c r="E195" s="95"/>
      <c r="F195" s="95"/>
      <c r="G195" s="95"/>
      <c r="H195" s="95"/>
      <c r="I195" s="95"/>
      <c r="J195" s="95"/>
      <c r="K195" s="95"/>
      <c r="L195" s="95"/>
      <c r="M195" s="95"/>
    </row>
    <row r="196" spans="1:13" ht="25.5" customHeight="1">
      <c r="A196" s="96"/>
      <c r="B196" s="97" t="s">
        <v>234</v>
      </c>
      <c r="C196" s="97"/>
      <c r="D196" s="97"/>
      <c r="E196" s="98" t="s">
        <v>221</v>
      </c>
      <c r="F196" s="98"/>
      <c r="G196" s="98"/>
      <c r="H196" s="98"/>
      <c r="I196" s="99"/>
      <c r="J196" s="99"/>
      <c r="K196" s="95"/>
      <c r="L196" s="95"/>
      <c r="M196" s="95"/>
    </row>
    <row r="197" spans="1:13" ht="18.75" customHeight="1">
      <c r="A197" s="96"/>
      <c r="B197" s="101"/>
      <c r="C197" s="102">
        <v>1</v>
      </c>
      <c r="D197" s="102">
        <v>2</v>
      </c>
      <c r="E197" s="102">
        <v>3</v>
      </c>
      <c r="F197" s="102">
        <v>4</v>
      </c>
      <c r="G197" s="102">
        <v>5</v>
      </c>
      <c r="H197" s="102">
        <v>6</v>
      </c>
      <c r="I197" s="102">
        <v>7</v>
      </c>
      <c r="J197" s="102">
        <v>8</v>
      </c>
      <c r="K197" s="102">
        <v>9</v>
      </c>
      <c r="L197" s="102">
        <v>10</v>
      </c>
      <c r="M197" s="95"/>
    </row>
    <row r="198" spans="1:13" ht="18.75" customHeight="1">
      <c r="A198" s="100"/>
      <c r="B198" s="104" t="s">
        <v>3</v>
      </c>
      <c r="C198" s="105">
        <v>43541</v>
      </c>
      <c r="D198" s="106">
        <v>43582</v>
      </c>
      <c r="E198" s="106">
        <v>43604</v>
      </c>
      <c r="F198" s="107">
        <v>43610</v>
      </c>
      <c r="G198" s="106">
        <v>43667</v>
      </c>
      <c r="H198" s="106">
        <v>43673</v>
      </c>
      <c r="I198" s="106">
        <v>43695</v>
      </c>
      <c r="J198" s="106">
        <v>43730</v>
      </c>
      <c r="K198" s="106">
        <v>43758</v>
      </c>
      <c r="L198" s="106">
        <v>43786</v>
      </c>
      <c r="M198" s="108" t="s">
        <v>214</v>
      </c>
    </row>
    <row r="199" spans="1:13" ht="24.75" customHeight="1">
      <c r="A199" s="103">
        <v>1</v>
      </c>
      <c r="B199" s="281" t="s">
        <v>44</v>
      </c>
      <c r="C199" s="282">
        <v>100</v>
      </c>
      <c r="D199" s="283">
        <v>95.54</v>
      </c>
      <c r="E199" s="284">
        <v>92.24</v>
      </c>
      <c r="F199" s="273">
        <v>100</v>
      </c>
      <c r="G199" s="274">
        <v>86.47</v>
      </c>
      <c r="H199" s="273">
        <v>100</v>
      </c>
      <c r="I199" s="273">
        <v>100</v>
      </c>
      <c r="J199" s="273">
        <v>100</v>
      </c>
      <c r="K199" s="275"/>
      <c r="L199" s="275"/>
      <c r="M199" s="240">
        <f>AVERAGE(LARGE(C199:L199,1),LARGE(C199:L199,2),LARGE(C199:L199,3),LARGE(C199:L199,4),LARGE(C199:L199,5))</f>
        <v>100</v>
      </c>
    </row>
    <row r="200" spans="1:13" ht="18.75" customHeight="1">
      <c r="A200" s="103">
        <v>2</v>
      </c>
      <c r="B200" s="163" t="s">
        <v>46</v>
      </c>
      <c r="C200" s="283">
        <v>85.58</v>
      </c>
      <c r="D200" s="282">
        <v>100</v>
      </c>
      <c r="E200" s="267">
        <v>0</v>
      </c>
      <c r="F200" s="274">
        <v>66.73</v>
      </c>
      <c r="G200" s="274">
        <v>72.37</v>
      </c>
      <c r="H200" s="274">
        <v>56.14</v>
      </c>
      <c r="I200" s="274">
        <v>39.93</v>
      </c>
      <c r="J200" s="274">
        <v>46.97</v>
      </c>
      <c r="K200" s="282">
        <v>100</v>
      </c>
      <c r="L200" s="275"/>
      <c r="M200" s="190">
        <f>AVERAGE(LARGE(C200:L200,1),LARGE(C200:L200,2),LARGE(C200:L200,3),LARGE(C200:L200,4),LARGE(C200:L200,5))</f>
        <v>84.936</v>
      </c>
    </row>
    <row r="201" spans="1:13" ht="18.75" customHeight="1">
      <c r="A201" s="103">
        <v>3</v>
      </c>
      <c r="B201" s="163" t="s">
        <v>61</v>
      </c>
      <c r="C201" s="285"/>
      <c r="D201" s="274">
        <v>30.35</v>
      </c>
      <c r="E201" s="286">
        <v>100</v>
      </c>
      <c r="F201" s="267">
        <v>59.13</v>
      </c>
      <c r="G201" s="282">
        <v>100</v>
      </c>
      <c r="H201" s="267">
        <v>84.48</v>
      </c>
      <c r="I201" s="267">
        <v>63.51</v>
      </c>
      <c r="J201" s="267">
        <v>41.64</v>
      </c>
      <c r="K201" s="267">
        <v>49.18</v>
      </c>
      <c r="L201" s="275"/>
      <c r="M201" s="190">
        <f>AVERAGE(LARGE(C201:L201,1),LARGE(C201:L201,2),LARGE(C201:L201,3),LARGE(C201:L201,4),LARGE(C201:L201,5))</f>
        <v>81.424</v>
      </c>
    </row>
    <row r="202" spans="1:13" ht="18.75" customHeight="1">
      <c r="A202" s="103">
        <v>4</v>
      </c>
      <c r="B202" s="128" t="s">
        <v>19</v>
      </c>
      <c r="C202" s="266">
        <v>37.64</v>
      </c>
      <c r="D202" s="267">
        <v>29.75</v>
      </c>
      <c r="E202" s="267">
        <v>75.57</v>
      </c>
      <c r="F202" s="267">
        <v>63.44</v>
      </c>
      <c r="G202" s="269"/>
      <c r="H202" s="267">
        <v>86.86</v>
      </c>
      <c r="I202" s="269"/>
      <c r="J202" s="267">
        <v>70.15</v>
      </c>
      <c r="K202" s="267">
        <v>58.51</v>
      </c>
      <c r="L202" s="275"/>
      <c r="M202" s="190">
        <f>AVERAGE(LARGE(C202:L202,1),LARGE(C202:L202,2),LARGE(C202:L202,3),LARGE(C202:L202,4),LARGE(C202:L202,5))</f>
        <v>70.90599999999999</v>
      </c>
    </row>
    <row r="203" spans="1:13" ht="18.75" customHeight="1">
      <c r="A203" s="103">
        <v>5</v>
      </c>
      <c r="B203" s="163" t="s">
        <v>47</v>
      </c>
      <c r="C203" s="283">
        <v>71.57</v>
      </c>
      <c r="D203" s="283">
        <v>42.24</v>
      </c>
      <c r="E203" s="274">
        <v>56.43</v>
      </c>
      <c r="F203" s="274">
        <v>39.45</v>
      </c>
      <c r="G203" s="274">
        <v>56.06</v>
      </c>
      <c r="H203" s="275"/>
      <c r="I203" s="274">
        <v>57.65</v>
      </c>
      <c r="J203" s="274">
        <v>46.5</v>
      </c>
      <c r="K203" s="274">
        <v>46.41</v>
      </c>
      <c r="L203" s="273">
        <v>100</v>
      </c>
      <c r="M203" s="190">
        <f>AVERAGE(LARGE(C203:L203,1),LARGE(C203:L203,2),LARGE(C203:L203,3),LARGE(C203:L203,4),LARGE(C203:L203,5))</f>
        <v>68.342</v>
      </c>
    </row>
    <row r="204" spans="1:13" ht="18.75" customHeight="1">
      <c r="A204" s="103">
        <v>6</v>
      </c>
      <c r="B204" s="163" t="s">
        <v>74</v>
      </c>
      <c r="C204" s="285"/>
      <c r="D204" s="283">
        <v>51.3</v>
      </c>
      <c r="E204" s="267">
        <v>48.88</v>
      </c>
      <c r="F204" s="274">
        <v>37.18</v>
      </c>
      <c r="G204" s="275"/>
      <c r="H204" s="274">
        <v>44.11</v>
      </c>
      <c r="I204" s="274">
        <v>45.62</v>
      </c>
      <c r="J204" s="274">
        <v>31.3</v>
      </c>
      <c r="K204" s="275"/>
      <c r="L204" s="274">
        <v>85.94</v>
      </c>
      <c r="M204" s="190">
        <f>AVERAGE(LARGE(C204:L204,1),LARGE(C204:L204,2),LARGE(C204:L204,3),LARGE(C204:L204,4),LARGE(C204:L204,5))</f>
        <v>55.17</v>
      </c>
    </row>
    <row r="205" spans="1:13" ht="18.75" customHeight="1">
      <c r="A205" s="103">
        <v>7</v>
      </c>
      <c r="B205" s="248" t="s">
        <v>70</v>
      </c>
      <c r="C205" s="277"/>
      <c r="D205" s="276"/>
      <c r="E205" s="276"/>
      <c r="F205" s="271">
        <v>41.85</v>
      </c>
      <c r="G205" s="276"/>
      <c r="H205" s="271">
        <v>34.29</v>
      </c>
      <c r="I205" s="271">
        <v>57.63</v>
      </c>
      <c r="J205" s="271">
        <v>33.81</v>
      </c>
      <c r="K205" s="271">
        <v>72.88</v>
      </c>
      <c r="L205" s="275"/>
      <c r="M205" s="190">
        <f>AVERAGE(LARGE(C205:L205,1),LARGE(C205:L205,2),LARGE(C205:L205,3),LARGE(C205:L205,4),LARGE(C205:L205,5))</f>
        <v>48.092</v>
      </c>
    </row>
    <row r="206" spans="1:13" ht="18.75" customHeight="1">
      <c r="A206" s="103">
        <v>8</v>
      </c>
      <c r="B206" s="248" t="s">
        <v>52</v>
      </c>
      <c r="C206" s="287">
        <v>33.06</v>
      </c>
      <c r="D206" s="271">
        <v>28.54</v>
      </c>
      <c r="E206" s="276"/>
      <c r="F206" s="276"/>
      <c r="G206" s="276"/>
      <c r="H206" s="276"/>
      <c r="I206" s="288"/>
      <c r="J206" s="287">
        <v>100</v>
      </c>
      <c r="K206" s="271">
        <v>50.48</v>
      </c>
      <c r="L206" s="275"/>
      <c r="M206" s="162" t="e">
        <f>AVERAGE(LARGE(C206:L206,1),LARGE(C206:L206,2),LARGE(C206:L206,3),LARGE(C206:L206,4),LARGE(C206:L206,5))</f>
        <v>#VALUE!</v>
      </c>
    </row>
    <row r="207" spans="1:13" ht="18.75" customHeight="1">
      <c r="A207" s="103">
        <v>9</v>
      </c>
      <c r="B207" s="163" t="s">
        <v>8</v>
      </c>
      <c r="C207" s="283">
        <v>94.94</v>
      </c>
      <c r="D207" s="269"/>
      <c r="E207" s="267">
        <v>68.25</v>
      </c>
      <c r="F207" s="269"/>
      <c r="G207" s="267">
        <v>59.12</v>
      </c>
      <c r="H207" s="269"/>
      <c r="I207" s="278"/>
      <c r="J207" s="278"/>
      <c r="K207" s="278"/>
      <c r="L207" s="267">
        <v>79.01</v>
      </c>
      <c r="M207" s="121" t="e">
        <f>AVERAGE(LARGE(C207:L207,1),LARGE(C207:L207,2),LARGE(C207:L207,3),LARGE(C207:L207,4),LARGE(C207:L207,5))</f>
        <v>#VALUE!</v>
      </c>
    </row>
    <row r="208" spans="1:13" ht="18.75" customHeight="1">
      <c r="A208" s="103">
        <v>10</v>
      </c>
      <c r="B208" s="128" t="s">
        <v>49</v>
      </c>
      <c r="C208" s="266">
        <v>43.63</v>
      </c>
      <c r="D208" s="269"/>
      <c r="E208" s="269"/>
      <c r="F208" s="269"/>
      <c r="G208" s="269"/>
      <c r="H208" s="269"/>
      <c r="I208" s="278"/>
      <c r="J208" s="278"/>
      <c r="K208" s="278"/>
      <c r="L208" s="275"/>
      <c r="M208" s="121" t="e">
        <f>AVERAGE(LARGE(C208:L208,1),LARGE(C208:L208,2),LARGE(C208:L208,3),LARGE(C208:L208,4),LARGE(C208:L208,5))</f>
        <v>#VALUE!</v>
      </c>
    </row>
    <row r="209" spans="1:13" ht="18.75" customHeight="1">
      <c r="A209" s="103">
        <v>11</v>
      </c>
      <c r="B209" s="128" t="s">
        <v>48</v>
      </c>
      <c r="C209" s="266">
        <v>49.48</v>
      </c>
      <c r="D209" s="269"/>
      <c r="E209" s="269"/>
      <c r="F209" s="267">
        <v>54.87</v>
      </c>
      <c r="G209" s="269"/>
      <c r="H209" s="278"/>
      <c r="I209" s="269"/>
      <c r="J209" s="269"/>
      <c r="K209" s="269"/>
      <c r="L209" s="275"/>
      <c r="M209" s="121" t="e">
        <f>AVERAGE(LARGE(C209:L209,1),LARGE(C209:L209,2),LARGE(C209:L209,3),LARGE(C209:L209,4),LARGE(C209:L209,5))</f>
        <v>#VALUE!</v>
      </c>
    </row>
    <row r="210" spans="1:13" ht="18.75" customHeight="1">
      <c r="A210" s="103">
        <v>12</v>
      </c>
      <c r="B210" s="128" t="s">
        <v>32</v>
      </c>
      <c r="C210" s="279"/>
      <c r="D210" s="279"/>
      <c r="E210" s="269"/>
      <c r="F210" s="267">
        <v>53.76</v>
      </c>
      <c r="G210" s="269"/>
      <c r="H210" s="269"/>
      <c r="I210" s="269"/>
      <c r="J210" s="269"/>
      <c r="K210" s="269"/>
      <c r="L210" s="275"/>
      <c r="M210" s="121" t="e">
        <f>AVERAGE(LARGE(C210:L210,1),LARGE(C210:L210,2),LARGE(C210:L210,3),LARGE(C210:L210,4),LARGE(C210:L210,5))</f>
        <v>#VALUE!</v>
      </c>
    </row>
    <row r="211" spans="1:13" ht="18.75" customHeight="1">
      <c r="A211" s="103">
        <v>13</v>
      </c>
      <c r="B211" s="128" t="s">
        <v>65</v>
      </c>
      <c r="C211" s="279"/>
      <c r="D211" s="269"/>
      <c r="E211" s="269"/>
      <c r="F211" s="267">
        <v>43.55</v>
      </c>
      <c r="G211" s="278"/>
      <c r="H211" s="269"/>
      <c r="I211" s="269"/>
      <c r="J211" s="269"/>
      <c r="K211" s="269"/>
      <c r="L211" s="275"/>
      <c r="M211" s="121" t="e">
        <f>AVERAGE(LARGE(C211:L211,1),LARGE(C211:L211,2),LARGE(C211:L211,3),LARGE(C211:L211,4),LARGE(C211:L211,5))</f>
        <v>#VALUE!</v>
      </c>
    </row>
    <row r="212" spans="1:13" ht="18.75" customHeight="1">
      <c r="A212" s="103">
        <v>14</v>
      </c>
      <c r="B212" s="128" t="s">
        <v>195</v>
      </c>
      <c r="C212" s="279"/>
      <c r="D212" s="269"/>
      <c r="E212" s="269"/>
      <c r="F212" s="269"/>
      <c r="G212" s="269"/>
      <c r="H212" s="269"/>
      <c r="I212" s="269"/>
      <c r="J212" s="267">
        <v>23.47</v>
      </c>
      <c r="K212" s="269"/>
      <c r="L212" s="275"/>
      <c r="M212" s="121" t="e">
        <f>AVERAGE(LARGE(C212:L212,1),LARGE(C212:L212,2),LARGE(C212:L212,3),LARGE(C212:L212,4),LARGE(C212:L212,5))</f>
        <v>#VALUE!</v>
      </c>
    </row>
    <row r="213" spans="1:13" ht="18.75" customHeight="1">
      <c r="A213" s="103">
        <v>15</v>
      </c>
      <c r="B213" s="128" t="s">
        <v>23</v>
      </c>
      <c r="C213" s="279"/>
      <c r="D213" s="279"/>
      <c r="E213" s="269"/>
      <c r="F213" s="266">
        <v>89.19</v>
      </c>
      <c r="G213" s="269"/>
      <c r="H213" s="269"/>
      <c r="I213" s="269"/>
      <c r="J213" s="269"/>
      <c r="K213" s="269"/>
      <c r="L213" s="275"/>
      <c r="M213" s="121" t="e">
        <f>AVERAGE(LARGE(C213:L213,1),LARGE(C213:L213,2),LARGE(C213:L213,3),LARGE(C213:L213,4),LARGE(C213:L213,5))</f>
        <v>#VALUE!</v>
      </c>
    </row>
    <row r="214" spans="1:13" ht="18.75" customHeight="1">
      <c r="A214" s="103">
        <v>16</v>
      </c>
      <c r="B214" s="163" t="s">
        <v>172</v>
      </c>
      <c r="C214" s="285"/>
      <c r="D214" s="279"/>
      <c r="E214" s="269"/>
      <c r="F214" s="267">
        <v>23.39</v>
      </c>
      <c r="G214" s="269"/>
      <c r="H214" s="269"/>
      <c r="I214" s="269"/>
      <c r="J214" s="269"/>
      <c r="K214" s="269"/>
      <c r="L214" s="275"/>
      <c r="M214" s="121" t="e">
        <f>AVERAGE(LARGE(C214:L214,1),LARGE(C214:L214,2),LARGE(C214:L214,3),LARGE(C214:L214,4),LARGE(C214:L214,5))</f>
        <v>#VALUE!</v>
      </c>
    </row>
    <row r="215" spans="1:13" ht="18.75" customHeight="1">
      <c r="A215" s="103">
        <v>17</v>
      </c>
      <c r="B215" s="147" t="s">
        <v>11</v>
      </c>
      <c r="C215" s="289">
        <v>26.18</v>
      </c>
      <c r="D215" s="285"/>
      <c r="E215" s="269"/>
      <c r="F215" s="275"/>
      <c r="G215" s="275"/>
      <c r="H215" s="275"/>
      <c r="I215" s="275"/>
      <c r="J215" s="275"/>
      <c r="K215" s="275"/>
      <c r="L215" s="275"/>
      <c r="M215" s="121" t="e">
        <f>AVERAGE(LARGE(C215:L215,1),LARGE(C215:L215,2),LARGE(C215:L215,3),LARGE(C215:L215,4),LARGE(C215:L215,5))</f>
        <v>#VALUE!</v>
      </c>
    </row>
    <row r="216" spans="1:13" ht="18.75" customHeight="1">
      <c r="A216" s="103">
        <v>18</v>
      </c>
      <c r="B216" s="163" t="s">
        <v>80</v>
      </c>
      <c r="C216" s="285"/>
      <c r="D216" s="285"/>
      <c r="E216" s="269"/>
      <c r="F216" s="274">
        <v>31.5</v>
      </c>
      <c r="G216" s="275"/>
      <c r="H216" s="275"/>
      <c r="I216" s="275"/>
      <c r="J216" s="275"/>
      <c r="K216" s="275"/>
      <c r="L216" s="275"/>
      <c r="M216" s="121" t="e">
        <f>AVERAGE(LARGE(C216:L216,1),LARGE(C216:L216,2),LARGE(C216:L216,3),LARGE(C216:L216,4),LARGE(C216:L216,5))</f>
        <v>#VALUE!</v>
      </c>
    </row>
    <row r="217" spans="1:13" ht="18.75" customHeight="1">
      <c r="A217" s="103">
        <v>19</v>
      </c>
      <c r="B217" s="163" t="s">
        <v>153</v>
      </c>
      <c r="C217" s="285"/>
      <c r="D217" s="285"/>
      <c r="E217" s="269"/>
      <c r="F217" s="274">
        <v>37.82</v>
      </c>
      <c r="G217" s="275"/>
      <c r="H217" s="275"/>
      <c r="I217" s="275"/>
      <c r="J217" s="275"/>
      <c r="K217" s="275"/>
      <c r="L217" s="275"/>
      <c r="M217" s="121" t="e">
        <f>AVERAGE(LARGE(C217:L217,1),LARGE(C217:L217,2),LARGE(C217:L217,3),LARGE(C217:L217,4),LARGE(C217:L217,5))</f>
        <v>#VALUE!</v>
      </c>
    </row>
    <row r="218" spans="1:13" ht="18.75" customHeight="1">
      <c r="A218" s="103">
        <v>20</v>
      </c>
      <c r="B218" s="163" t="s">
        <v>150</v>
      </c>
      <c r="C218" s="285"/>
      <c r="D218" s="285"/>
      <c r="E218" s="269"/>
      <c r="F218" s="274">
        <v>41.39</v>
      </c>
      <c r="G218" s="275"/>
      <c r="H218" s="275"/>
      <c r="I218" s="275"/>
      <c r="J218" s="275"/>
      <c r="K218" s="275"/>
      <c r="L218" s="275"/>
      <c r="M218" s="121" t="e">
        <f>AVERAGE(LARGE(C218:L218,1),LARGE(C218:L218,2),LARGE(C218:L218,3),LARGE(C218:L218,4),LARGE(C218:L218,5))</f>
        <v>#VALUE!</v>
      </c>
    </row>
    <row r="219" spans="1:13" ht="18.75" customHeight="1">
      <c r="A219" s="103">
        <v>21</v>
      </c>
      <c r="B219" s="163" t="s">
        <v>141</v>
      </c>
      <c r="C219" s="285"/>
      <c r="D219" s="285"/>
      <c r="E219" s="269"/>
      <c r="F219" s="274">
        <v>68.97</v>
      </c>
      <c r="G219" s="275"/>
      <c r="H219" s="275"/>
      <c r="I219" s="275"/>
      <c r="J219" s="275"/>
      <c r="K219" s="275"/>
      <c r="L219" s="275"/>
      <c r="M219" s="121" t="e">
        <f>AVERAGE(LARGE(C219:L219,1),LARGE(C219:L219,2),LARGE(C219:L219,3),LARGE(C219:L219,4),LARGE(C219:L219,5))</f>
        <v>#VALUE!</v>
      </c>
    </row>
    <row r="220" spans="1:13" ht="18.75" customHeight="1">
      <c r="A220" s="103">
        <v>22</v>
      </c>
      <c r="B220" s="163" t="s">
        <v>21</v>
      </c>
      <c r="C220" s="283">
        <v>39.32</v>
      </c>
      <c r="D220" s="285"/>
      <c r="E220" s="269"/>
      <c r="F220" s="269"/>
      <c r="G220" s="267">
        <v>33.79</v>
      </c>
      <c r="H220" s="267">
        <v>34.02</v>
      </c>
      <c r="I220" s="269"/>
      <c r="J220" s="269"/>
      <c r="K220" s="269"/>
      <c r="L220" s="275"/>
      <c r="M220" s="121" t="e">
        <f>AVERAGE(LARGE(C220:L220,1),LARGE(C220:L220,2),LARGE(C220:L220,3),LARGE(C220:L220,4),LARGE(C220:L220,5))</f>
        <v>#VALUE!</v>
      </c>
    </row>
    <row r="221" spans="1:13" ht="18.75" customHeight="1">
      <c r="A221" s="103">
        <v>23</v>
      </c>
      <c r="B221" s="248" t="s">
        <v>186</v>
      </c>
      <c r="C221" s="277"/>
      <c r="D221" s="277"/>
      <c r="E221" s="276"/>
      <c r="F221" s="276"/>
      <c r="G221" s="271">
        <v>41.64</v>
      </c>
      <c r="H221" s="276"/>
      <c r="I221" s="276"/>
      <c r="J221" s="276"/>
      <c r="K221" s="276"/>
      <c r="L221" s="276"/>
      <c r="M221" s="253"/>
    </row>
    <row r="222" spans="1:13" ht="26.25" customHeight="1">
      <c r="A222" s="93"/>
      <c r="B222" s="199"/>
      <c r="C222" s="199"/>
      <c r="D222" s="199"/>
      <c r="E222" s="95"/>
      <c r="F222" s="95"/>
      <c r="G222" s="95"/>
      <c r="H222" s="95"/>
      <c r="I222" s="95"/>
      <c r="J222" s="95"/>
      <c r="K222" s="95"/>
      <c r="L222" s="95"/>
      <c r="M222" s="95"/>
    </row>
    <row r="223" spans="1:13" ht="26.25" customHeight="1">
      <c r="A223" s="96"/>
      <c r="B223" s="97" t="s">
        <v>235</v>
      </c>
      <c r="C223" s="97"/>
      <c r="D223" s="97"/>
      <c r="E223" s="98"/>
      <c r="F223" s="98"/>
      <c r="G223" s="98"/>
      <c r="H223" s="98"/>
      <c r="I223" s="99"/>
      <c r="J223" s="99"/>
      <c r="K223" s="93"/>
      <c r="L223" s="95"/>
      <c r="M223" s="95"/>
    </row>
    <row r="224" spans="1:13" ht="18.75" customHeight="1">
      <c r="A224" s="96"/>
      <c r="B224" s="101"/>
      <c r="C224" s="102">
        <v>1</v>
      </c>
      <c r="D224" s="102">
        <v>2</v>
      </c>
      <c r="E224" s="102">
        <v>3</v>
      </c>
      <c r="F224" s="102">
        <v>4</v>
      </c>
      <c r="G224" s="102">
        <v>5</v>
      </c>
      <c r="H224" s="102">
        <v>6</v>
      </c>
      <c r="I224" s="102">
        <v>7</v>
      </c>
      <c r="J224" s="102">
        <v>8</v>
      </c>
      <c r="K224" s="102">
        <v>9</v>
      </c>
      <c r="L224" s="102">
        <v>10</v>
      </c>
      <c r="M224" s="95"/>
    </row>
    <row r="225" spans="1:13" ht="18.75" customHeight="1">
      <c r="A225" s="100"/>
      <c r="B225" s="104" t="s">
        <v>3</v>
      </c>
      <c r="C225" s="105">
        <v>43541</v>
      </c>
      <c r="D225" s="106">
        <v>43582</v>
      </c>
      <c r="E225" s="106">
        <v>43604</v>
      </c>
      <c r="F225" s="107">
        <v>43610</v>
      </c>
      <c r="G225" s="106">
        <v>43667</v>
      </c>
      <c r="H225" s="106">
        <v>43673</v>
      </c>
      <c r="I225" s="106">
        <v>43695</v>
      </c>
      <c r="J225" s="106">
        <v>43730</v>
      </c>
      <c r="K225" s="106">
        <v>43758</v>
      </c>
      <c r="L225" s="106">
        <v>43786</v>
      </c>
      <c r="M225" s="108" t="s">
        <v>214</v>
      </c>
    </row>
    <row r="226" spans="1:13" ht="18.75" customHeight="1">
      <c r="A226" s="103">
        <v>1</v>
      </c>
      <c r="B226" s="163" t="s">
        <v>72</v>
      </c>
      <c r="C226" s="285"/>
      <c r="D226" s="286">
        <v>44.86</v>
      </c>
      <c r="E226" s="269"/>
      <c r="F226" s="269"/>
      <c r="G226" s="269"/>
      <c r="H226" s="269"/>
      <c r="I226" s="269"/>
      <c r="J226" s="269"/>
      <c r="K226" s="269"/>
      <c r="L226" s="286">
        <v>100</v>
      </c>
      <c r="M226" s="121">
        <v>2</v>
      </c>
    </row>
    <row r="227" spans="1:13" ht="18.75" customHeight="1">
      <c r="A227" s="103">
        <v>2</v>
      </c>
      <c r="B227" s="128" t="s">
        <v>54</v>
      </c>
      <c r="C227" s="266">
        <v>32.83</v>
      </c>
      <c r="D227" s="269"/>
      <c r="E227" s="269"/>
      <c r="F227" s="269"/>
      <c r="G227" s="269"/>
      <c r="H227" s="278"/>
      <c r="I227" s="269"/>
      <c r="J227" s="269"/>
      <c r="K227" s="269"/>
      <c r="L227" s="269"/>
      <c r="M227" s="121"/>
    </row>
    <row r="228" spans="1:13" ht="18.75" customHeight="1">
      <c r="A228" s="103">
        <v>3</v>
      </c>
      <c r="B228" s="163" t="s">
        <v>79</v>
      </c>
      <c r="C228" s="285"/>
      <c r="D228" s="269"/>
      <c r="E228" s="269"/>
      <c r="F228" s="269"/>
      <c r="G228" s="269"/>
      <c r="H228" s="286">
        <v>100</v>
      </c>
      <c r="I228" s="269"/>
      <c r="J228" s="269"/>
      <c r="K228" s="269"/>
      <c r="L228" s="269"/>
      <c r="M228" s="121"/>
    </row>
    <row r="229" spans="1:13" ht="27.75" customHeight="1">
      <c r="A229" s="93"/>
      <c r="B229" s="6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</row>
    <row r="230" spans="1:14" ht="27.75" customHeight="1">
      <c r="A230" s="96"/>
      <c r="B230" s="97" t="s">
        <v>236</v>
      </c>
      <c r="C230" s="97"/>
      <c r="D230" s="97"/>
      <c r="E230" s="97"/>
      <c r="F230" s="97"/>
      <c r="G230" s="97"/>
      <c r="H230" s="97"/>
      <c r="I230" s="102"/>
      <c r="J230" s="290"/>
      <c r="K230" s="99" t="s">
        <v>213</v>
      </c>
      <c r="L230" s="99"/>
      <c r="M230" s="99"/>
      <c r="N230" s="99"/>
    </row>
    <row r="231" spans="1:13" ht="18.75" customHeight="1">
      <c r="A231" s="100"/>
      <c r="B231" s="101"/>
      <c r="C231" s="102">
        <v>1</v>
      </c>
      <c r="D231" s="102">
        <v>2</v>
      </c>
      <c r="E231" s="102">
        <v>3</v>
      </c>
      <c r="F231" s="102">
        <v>4</v>
      </c>
      <c r="G231" s="102">
        <v>5</v>
      </c>
      <c r="H231" s="102"/>
      <c r="I231" s="102"/>
      <c r="J231" s="102"/>
      <c r="L231" s="102"/>
      <c r="M231" s="102"/>
    </row>
    <row r="232" spans="1:13" ht="18.75" customHeight="1">
      <c r="A232" s="103"/>
      <c r="B232" s="104" t="s">
        <v>3</v>
      </c>
      <c r="C232" s="105">
        <v>43533</v>
      </c>
      <c r="D232" s="106">
        <v>43589</v>
      </c>
      <c r="E232" s="106">
        <v>43653</v>
      </c>
      <c r="F232" s="106">
        <v>43723</v>
      </c>
      <c r="G232" s="106">
        <v>43792</v>
      </c>
      <c r="H232" s="108" t="s">
        <v>214</v>
      </c>
      <c r="I232" s="102"/>
      <c r="J232" s="102"/>
      <c r="L232" s="291"/>
      <c r="M232" s="102"/>
    </row>
    <row r="233" spans="1:13" ht="22.5" customHeight="1">
      <c r="A233" s="103">
        <v>1</v>
      </c>
      <c r="B233" s="281" t="s">
        <v>8</v>
      </c>
      <c r="C233" s="292">
        <v>43</v>
      </c>
      <c r="D233" s="292">
        <v>42</v>
      </c>
      <c r="E233" s="292">
        <v>41</v>
      </c>
      <c r="F233" s="293">
        <v>47</v>
      </c>
      <c r="G233" s="292">
        <v>46</v>
      </c>
      <c r="H233" s="240">
        <f>AVERAGE(LARGE(C233:G233,1),LARGE(C233:G233,2),LARGE(C233:G233,3))</f>
        <v>45.333333333333336</v>
      </c>
      <c r="I233" s="102"/>
      <c r="J233" s="102"/>
      <c r="L233" s="291"/>
      <c r="M233" s="102"/>
    </row>
    <row r="234" spans="1:13" ht="18.75" customHeight="1">
      <c r="A234" s="103">
        <v>2</v>
      </c>
      <c r="B234" s="123" t="s">
        <v>11</v>
      </c>
      <c r="C234" s="153">
        <v>39</v>
      </c>
      <c r="D234" s="126">
        <v>29</v>
      </c>
      <c r="E234" s="129">
        <v>23</v>
      </c>
      <c r="F234" s="129">
        <v>35</v>
      </c>
      <c r="G234" s="126">
        <v>15</v>
      </c>
      <c r="H234" s="190">
        <f>AVERAGE(LARGE(C234:G234,1),LARGE(C234:G234,2),LARGE(C234:G234,3))</f>
        <v>34.333333333333336</v>
      </c>
      <c r="I234" s="102"/>
      <c r="J234" s="102"/>
      <c r="L234" s="291"/>
      <c r="M234" s="102"/>
    </row>
    <row r="235" spans="1:13" ht="18.75" customHeight="1">
      <c r="A235" s="103">
        <v>3</v>
      </c>
      <c r="B235" s="248" t="s">
        <v>41</v>
      </c>
      <c r="C235" s="249"/>
      <c r="D235" s="126">
        <v>20</v>
      </c>
      <c r="E235" s="126">
        <v>33</v>
      </c>
      <c r="F235" s="126">
        <v>27</v>
      </c>
      <c r="G235" s="126">
        <v>31</v>
      </c>
      <c r="H235" s="190">
        <f>AVERAGE(LARGE(C235:G235,1),LARGE(C235:G235,2),LARGE(C235:G235,3))</f>
        <v>30.333333333333332</v>
      </c>
      <c r="I235" s="102"/>
      <c r="J235" s="102"/>
      <c r="L235" s="291"/>
      <c r="M235" s="102"/>
    </row>
    <row r="236" spans="1:13" ht="18.75" customHeight="1">
      <c r="A236" s="103">
        <v>4</v>
      </c>
      <c r="B236" s="123" t="s">
        <v>19</v>
      </c>
      <c r="C236" s="153">
        <v>23</v>
      </c>
      <c r="D236" s="126">
        <v>20</v>
      </c>
      <c r="E236" s="119"/>
      <c r="F236" s="126">
        <v>12</v>
      </c>
      <c r="G236" s="294"/>
      <c r="H236" s="190">
        <f>AVERAGE(LARGE(C236:G236,1),LARGE(C236:G236,2),LARGE(C236:G236,3))</f>
        <v>18.333333333333332</v>
      </c>
      <c r="I236" s="102"/>
      <c r="J236" s="102"/>
      <c r="L236" s="291"/>
      <c r="M236" s="102"/>
    </row>
    <row r="237" spans="1:13" ht="18.75" customHeight="1">
      <c r="A237" s="103">
        <v>5</v>
      </c>
      <c r="B237" s="116" t="s">
        <v>17</v>
      </c>
      <c r="C237" s="146">
        <v>24</v>
      </c>
      <c r="D237" s="295">
        <v>8</v>
      </c>
      <c r="E237" s="119"/>
      <c r="F237" s="126">
        <v>11</v>
      </c>
      <c r="G237" s="294"/>
      <c r="H237" s="190">
        <f>AVERAGE(LARGE(C237:G237,1),LARGE(C237:G237,2),LARGE(C237:G237,3))</f>
        <v>14.333333333333334</v>
      </c>
      <c r="I237" s="102"/>
      <c r="J237" s="102"/>
      <c r="L237" s="291"/>
      <c r="M237" s="102"/>
    </row>
    <row r="238" spans="1:13" ht="18.75" customHeight="1">
      <c r="A238" s="103">
        <v>6</v>
      </c>
      <c r="B238" s="128" t="s">
        <v>95</v>
      </c>
      <c r="C238" s="124"/>
      <c r="D238" s="296"/>
      <c r="E238" s="155"/>
      <c r="F238" s="129">
        <v>20</v>
      </c>
      <c r="G238" s="297"/>
      <c r="H238" s="298" t="e">
        <f>AVERAGE(LARGE(C238:G238,1),LARGE(C238:G238,2),LARGE(C238:G238,3))</f>
        <v>#VALUE!</v>
      </c>
      <c r="I238" s="102"/>
      <c r="J238" s="102"/>
      <c r="L238" s="291"/>
      <c r="M238" s="102"/>
    </row>
    <row r="239" spans="1:13" ht="18.75" customHeight="1">
      <c r="A239" s="103">
        <v>7</v>
      </c>
      <c r="B239" s="123" t="s">
        <v>13</v>
      </c>
      <c r="C239" s="153">
        <v>33</v>
      </c>
      <c r="D239" s="150"/>
      <c r="E239" s="117"/>
      <c r="F239" s="119"/>
      <c r="G239" s="294"/>
      <c r="H239" s="121" t="e">
        <f>AVERAGE(LARGE(C239:G239,1),LARGE(C239:G239,2),LARGE(C239:G239,3))</f>
        <v>#VALUE!</v>
      </c>
      <c r="I239" s="102"/>
      <c r="J239" s="102"/>
      <c r="L239" s="291"/>
      <c r="M239" s="102"/>
    </row>
    <row r="240" spans="1:13" ht="18.75" customHeight="1">
      <c r="A240" s="103">
        <v>8</v>
      </c>
      <c r="B240" s="123" t="s">
        <v>15</v>
      </c>
      <c r="C240" s="153">
        <v>29</v>
      </c>
      <c r="D240" s="119"/>
      <c r="E240" s="119"/>
      <c r="F240" s="119"/>
      <c r="G240" s="126">
        <v>32</v>
      </c>
      <c r="H240" s="121" t="e">
        <f>AVERAGE(LARGE(C240:G240,1),LARGE(C240:G240,2),LARGE(C240:G240,3))</f>
        <v>#VALUE!</v>
      </c>
      <c r="I240" s="102"/>
      <c r="J240" s="102"/>
      <c r="L240" s="291"/>
      <c r="M240" s="102"/>
    </row>
    <row r="241" spans="1:13" ht="18.75" customHeight="1">
      <c r="A241" s="103">
        <v>9</v>
      </c>
      <c r="B241" s="123" t="s">
        <v>21</v>
      </c>
      <c r="C241" s="153">
        <v>5</v>
      </c>
      <c r="D241" s="119"/>
      <c r="E241" s="119"/>
      <c r="F241" s="119"/>
      <c r="G241" s="294"/>
      <c r="H241" s="121" t="e">
        <f>AVERAGE(LARGE(C241:G241,1),LARGE(C241:G241,2),LARGE(C241:G241,3))</f>
        <v>#VALUE!</v>
      </c>
      <c r="I241" s="102"/>
      <c r="J241" s="102"/>
      <c r="L241" s="291"/>
      <c r="M241" s="102"/>
    </row>
    <row r="242" spans="1:13" ht="27.75" customHeight="1">
      <c r="A242" s="93"/>
      <c r="B242" s="199"/>
      <c r="C242" s="199"/>
      <c r="D242" s="199"/>
      <c r="E242" s="95"/>
      <c r="F242" s="95"/>
      <c r="G242" s="95"/>
      <c r="H242" s="95"/>
      <c r="I242" s="102"/>
      <c r="J242" s="102"/>
      <c r="K242" s="95"/>
      <c r="L242" s="102"/>
      <c r="M242" s="102"/>
    </row>
    <row r="243" spans="1:14" ht="27.75" customHeight="1">
      <c r="A243" s="96"/>
      <c r="B243" s="97" t="s">
        <v>237</v>
      </c>
      <c r="C243" s="97"/>
      <c r="D243" s="97"/>
      <c r="E243" s="97"/>
      <c r="F243" s="97"/>
      <c r="G243" s="97"/>
      <c r="H243" s="97"/>
      <c r="I243" s="102"/>
      <c r="J243" s="102"/>
      <c r="K243" s="99" t="s">
        <v>213</v>
      </c>
      <c r="L243" s="99"/>
      <c r="M243" s="99"/>
      <c r="N243" s="99"/>
    </row>
    <row r="244" spans="1:13" ht="18.75" customHeight="1">
      <c r="A244" s="100"/>
      <c r="B244" s="101"/>
      <c r="C244" s="102">
        <v>1</v>
      </c>
      <c r="D244" s="102">
        <v>2</v>
      </c>
      <c r="E244" s="102">
        <v>3</v>
      </c>
      <c r="F244" s="102">
        <v>4</v>
      </c>
      <c r="G244" s="102">
        <v>5</v>
      </c>
      <c r="H244" s="102"/>
      <c r="I244" s="102"/>
      <c r="J244" s="102"/>
      <c r="K244" s="95"/>
      <c r="L244" s="102"/>
      <c r="M244" s="102"/>
    </row>
    <row r="245" spans="1:13" ht="18.75" customHeight="1">
      <c r="A245" s="103"/>
      <c r="B245" s="104" t="s">
        <v>3</v>
      </c>
      <c r="C245" s="105">
        <v>43533</v>
      </c>
      <c r="D245" s="106">
        <v>43589</v>
      </c>
      <c r="E245" s="106">
        <v>43653</v>
      </c>
      <c r="F245" s="106">
        <v>43723</v>
      </c>
      <c r="G245" s="106">
        <v>43792</v>
      </c>
      <c r="H245" s="108" t="s">
        <v>214</v>
      </c>
      <c r="I245" s="102"/>
      <c r="J245" s="102"/>
      <c r="K245" s="95"/>
      <c r="L245" s="299"/>
      <c r="M245" s="102"/>
    </row>
    <row r="246" spans="1:13" ht="21.75" customHeight="1">
      <c r="A246" s="103">
        <v>1</v>
      </c>
      <c r="B246" s="109" t="s">
        <v>8</v>
      </c>
      <c r="C246" s="300"/>
      <c r="D246" s="126">
        <v>23</v>
      </c>
      <c r="E246" s="129">
        <v>31</v>
      </c>
      <c r="F246" s="129">
        <v>40</v>
      </c>
      <c r="G246" s="126">
        <v>39</v>
      </c>
      <c r="H246" s="240">
        <f>AVERAGE(LARGE(C246:G246,1),LARGE(C246:G246,2),LARGE(C246:G246,3))</f>
        <v>36.666666666666664</v>
      </c>
      <c r="I246" s="102"/>
      <c r="J246" s="102"/>
      <c r="K246" s="95"/>
      <c r="L246" s="299"/>
      <c r="M246" s="102"/>
    </row>
    <row r="247" spans="1:13" ht="18.75" customHeight="1">
      <c r="A247" s="103">
        <v>2</v>
      </c>
      <c r="B247" s="123" t="s">
        <v>11</v>
      </c>
      <c r="C247" s="153">
        <v>32</v>
      </c>
      <c r="D247" s="126">
        <v>28</v>
      </c>
      <c r="E247" s="301">
        <v>34</v>
      </c>
      <c r="F247" s="301">
        <v>42</v>
      </c>
      <c r="G247" s="126">
        <v>27</v>
      </c>
      <c r="H247" s="190">
        <f>AVERAGE(LARGE(C247:G247,1),LARGE(C247:G247,2),LARGE(C247:G247,3))</f>
        <v>36</v>
      </c>
      <c r="I247" s="102"/>
      <c r="J247" s="102"/>
      <c r="K247" s="95"/>
      <c r="L247" s="299"/>
      <c r="M247" s="102"/>
    </row>
    <row r="248" spans="1:13" ht="18.75" customHeight="1">
      <c r="A248" s="103">
        <v>3</v>
      </c>
      <c r="B248" s="123" t="s">
        <v>19</v>
      </c>
      <c r="C248" s="153">
        <v>41</v>
      </c>
      <c r="D248" s="126">
        <v>27</v>
      </c>
      <c r="E248" s="119"/>
      <c r="F248" s="126">
        <v>34</v>
      </c>
      <c r="G248" s="126">
        <v>21</v>
      </c>
      <c r="H248" s="190">
        <f>AVERAGE(LARGE(C248:G248,1),LARGE(C248:G248,2),LARGE(C248:G248,3))</f>
        <v>34</v>
      </c>
      <c r="I248" s="102"/>
      <c r="J248" s="102"/>
      <c r="K248" s="95"/>
      <c r="L248" s="299"/>
      <c r="M248" s="102"/>
    </row>
    <row r="249" spans="1:13" ht="18.75" customHeight="1">
      <c r="A249" s="103">
        <v>4</v>
      </c>
      <c r="B249" s="302" t="s">
        <v>41</v>
      </c>
      <c r="C249" s="303"/>
      <c r="D249" s="304">
        <v>30</v>
      </c>
      <c r="E249" s="304">
        <v>28</v>
      </c>
      <c r="F249" s="304">
        <v>24</v>
      </c>
      <c r="G249" s="305">
        <v>41</v>
      </c>
      <c r="H249" s="260">
        <f>AVERAGE(LARGE(C249:G249,1),LARGE(C249:G249,2),LARGE(C249:G249,3))</f>
        <v>33</v>
      </c>
      <c r="I249" s="102"/>
      <c r="J249" s="102"/>
      <c r="K249" s="95"/>
      <c r="L249" s="299"/>
      <c r="M249" s="102"/>
    </row>
    <row r="250" spans="1:13" ht="18.75" customHeight="1">
      <c r="A250" s="103">
        <v>5</v>
      </c>
      <c r="B250" s="306" t="s">
        <v>26</v>
      </c>
      <c r="C250" s="307">
        <v>24</v>
      </c>
      <c r="D250" s="301">
        <v>38</v>
      </c>
      <c r="E250" s="126">
        <v>26</v>
      </c>
      <c r="F250" s="126">
        <v>28</v>
      </c>
      <c r="G250" s="126">
        <v>31</v>
      </c>
      <c r="H250" s="190">
        <f>AVERAGE(LARGE(C250:G250,1),LARGE(C250:G250,2),LARGE(C250:G250,3))</f>
        <v>32.333333333333336</v>
      </c>
      <c r="I250" s="102"/>
      <c r="J250" s="102"/>
      <c r="K250" s="95"/>
      <c r="L250" s="299"/>
      <c r="M250" s="102"/>
    </row>
    <row r="251" spans="1:13" ht="18.75" customHeight="1">
      <c r="A251" s="103">
        <v>6</v>
      </c>
      <c r="B251" s="128" t="s">
        <v>175</v>
      </c>
      <c r="C251" s="124"/>
      <c r="D251" s="150"/>
      <c r="E251" s="119"/>
      <c r="F251" s="126">
        <v>21</v>
      </c>
      <c r="G251" s="119"/>
      <c r="H251" s="121" t="e">
        <f>AVERAGE(LARGE(C251:G251,1),LARGE(C251:G251,2),LARGE(C251:G251,3))</f>
        <v>#VALUE!</v>
      </c>
      <c r="I251" s="102"/>
      <c r="J251" s="102"/>
      <c r="K251" s="95"/>
      <c r="L251" s="299"/>
      <c r="M251" s="102"/>
    </row>
    <row r="252" spans="1:13" ht="18.75" customHeight="1">
      <c r="A252" s="103">
        <v>7</v>
      </c>
      <c r="B252" s="128" t="s">
        <v>23</v>
      </c>
      <c r="C252" s="151">
        <v>44</v>
      </c>
      <c r="D252" s="119"/>
      <c r="E252" s="125"/>
      <c r="F252" s="125"/>
      <c r="G252" s="119"/>
      <c r="H252" s="121" t="e">
        <f>AVERAGE(LARGE(C252:G252,1),LARGE(C252:G252,2),LARGE(C252:G252,3))</f>
        <v>#VALUE!</v>
      </c>
      <c r="I252" s="102"/>
      <c r="J252" s="102"/>
      <c r="K252" s="95"/>
      <c r="L252" s="299"/>
      <c r="M252" s="102"/>
    </row>
    <row r="253" spans="1:13" ht="18.75" customHeight="1">
      <c r="A253" s="103">
        <v>8</v>
      </c>
      <c r="B253" s="128" t="s">
        <v>46</v>
      </c>
      <c r="C253" s="124"/>
      <c r="D253" s="150"/>
      <c r="E253" s="119"/>
      <c r="F253" s="126">
        <v>5</v>
      </c>
      <c r="G253" s="119"/>
      <c r="H253" s="121" t="e">
        <f>AVERAGE(LARGE(C253:G253,1),LARGE(C253:G253,2),LARGE(C253:G253,3))</f>
        <v>#VALUE!</v>
      </c>
      <c r="I253" s="102"/>
      <c r="J253" s="102"/>
      <c r="K253" s="95"/>
      <c r="L253" s="299"/>
      <c r="M253" s="102"/>
    </row>
    <row r="254" spans="1:13" ht="18.75" customHeight="1">
      <c r="A254" s="103">
        <v>9</v>
      </c>
      <c r="B254" s="123" t="s">
        <v>25</v>
      </c>
      <c r="C254" s="153">
        <v>37</v>
      </c>
      <c r="D254" s="150"/>
      <c r="E254" s="119"/>
      <c r="F254" s="119"/>
      <c r="G254" s="126">
        <v>35</v>
      </c>
      <c r="H254" s="121" t="e">
        <f>AVERAGE(LARGE(C254:G254,1),LARGE(C254:G254,2),LARGE(C254:G254,3))</f>
        <v>#VALUE!</v>
      </c>
      <c r="I254" s="102"/>
      <c r="J254" s="102"/>
      <c r="K254" s="95"/>
      <c r="L254" s="299"/>
      <c r="M254" s="102"/>
    </row>
    <row r="255" spans="1:13" ht="18.75" customHeight="1">
      <c r="A255" s="103">
        <v>10</v>
      </c>
      <c r="B255" s="116" t="s">
        <v>15</v>
      </c>
      <c r="C255" s="146">
        <v>36</v>
      </c>
      <c r="D255" s="119"/>
      <c r="E255" s="119"/>
      <c r="F255" s="119"/>
      <c r="G255" s="126">
        <v>35</v>
      </c>
      <c r="H255" s="121" t="e">
        <f>AVERAGE(LARGE(C255:G255,1),LARGE(C255:G255,2),LARGE(C255:G255,3))</f>
        <v>#VALUE!</v>
      </c>
      <c r="I255" s="102"/>
      <c r="J255" s="102"/>
      <c r="K255" s="95"/>
      <c r="L255" s="299"/>
      <c r="M255" s="102"/>
    </row>
    <row r="256" spans="1:13" ht="27.75" customHeight="1">
      <c r="A256" s="93"/>
      <c r="B256" s="6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</row>
    <row r="257" spans="1:13" ht="27.75" customHeight="1">
      <c r="A257" s="96"/>
      <c r="B257" s="97" t="s">
        <v>238</v>
      </c>
      <c r="C257" s="97"/>
      <c r="D257" s="97"/>
      <c r="E257" s="98" t="s">
        <v>213</v>
      </c>
      <c r="F257" s="98"/>
      <c r="G257" s="98"/>
      <c r="H257" s="98"/>
      <c r="I257" s="99"/>
      <c r="J257" s="99"/>
      <c r="K257" s="95"/>
      <c r="L257" s="95"/>
      <c r="M257" s="95"/>
    </row>
    <row r="258" spans="1:13" ht="18.75" customHeight="1">
      <c r="A258" s="100"/>
      <c r="B258" s="101"/>
      <c r="C258" s="102">
        <v>1</v>
      </c>
      <c r="D258" s="102">
        <v>2</v>
      </c>
      <c r="E258" s="102">
        <v>3</v>
      </c>
      <c r="F258" s="102">
        <v>4</v>
      </c>
      <c r="G258" s="102">
        <v>5</v>
      </c>
      <c r="H258" s="102"/>
      <c r="I258" s="95"/>
      <c r="J258" s="95"/>
      <c r="K258" s="95"/>
      <c r="L258" s="95"/>
      <c r="M258" s="95"/>
    </row>
    <row r="259" spans="1:13" ht="18.75" customHeight="1">
      <c r="A259" s="103"/>
      <c r="B259" s="104" t="s">
        <v>3</v>
      </c>
      <c r="C259" s="105">
        <v>43555</v>
      </c>
      <c r="D259" s="106">
        <v>43590</v>
      </c>
      <c r="E259" s="106">
        <v>43674</v>
      </c>
      <c r="F259" s="106">
        <v>43736</v>
      </c>
      <c r="G259" s="106">
        <v>43799</v>
      </c>
      <c r="H259" s="108" t="s">
        <v>214</v>
      </c>
      <c r="I259" s="95"/>
      <c r="J259" s="95"/>
      <c r="K259" s="95"/>
      <c r="L259" s="95"/>
      <c r="M259" s="95"/>
    </row>
    <row r="260" spans="1:13" ht="22.5" customHeight="1">
      <c r="A260" s="103">
        <v>1</v>
      </c>
      <c r="B260" s="255" t="s">
        <v>41</v>
      </c>
      <c r="C260" s="131">
        <v>158</v>
      </c>
      <c r="D260" s="126">
        <v>160</v>
      </c>
      <c r="E260" s="126">
        <v>120</v>
      </c>
      <c r="F260" s="168">
        <v>184</v>
      </c>
      <c r="G260" s="215">
        <v>156</v>
      </c>
      <c r="H260" s="240">
        <f>AVERAGE(LARGE(C260:G260,1),LARGE(C260:G260,2),LARGE(C260:G260,3))</f>
        <v>167.33333333333334</v>
      </c>
      <c r="I260" s="95"/>
      <c r="J260" s="95"/>
      <c r="K260" s="95"/>
      <c r="L260" s="95"/>
      <c r="M260" s="95"/>
    </row>
    <row r="261" spans="1:13" ht="18.75" customHeight="1">
      <c r="A261" s="103">
        <v>2</v>
      </c>
      <c r="B261" s="128" t="s">
        <v>43</v>
      </c>
      <c r="C261" s="131">
        <v>149</v>
      </c>
      <c r="D261" s="215">
        <v>170</v>
      </c>
      <c r="E261" s="126">
        <v>146</v>
      </c>
      <c r="F261" s="119"/>
      <c r="G261" s="126">
        <v>123</v>
      </c>
      <c r="H261" s="190">
        <f>AVERAGE(LARGE(C261:G261,1),LARGE(C261:G261,2),LARGE(C261:G261,3))</f>
        <v>155</v>
      </c>
      <c r="I261" s="95"/>
      <c r="J261" s="95"/>
      <c r="K261" s="95"/>
      <c r="L261" s="95"/>
      <c r="M261" s="95"/>
    </row>
    <row r="262" spans="1:13" ht="18.75" customHeight="1">
      <c r="A262" s="103">
        <v>3</v>
      </c>
      <c r="B262" s="128" t="s">
        <v>19</v>
      </c>
      <c r="C262" s="131">
        <v>137</v>
      </c>
      <c r="D262" s="126">
        <v>126</v>
      </c>
      <c r="E262" s="215">
        <v>166</v>
      </c>
      <c r="F262" s="129">
        <v>151</v>
      </c>
      <c r="G262" s="119"/>
      <c r="H262" s="190">
        <f>AVERAGE(LARGE(C262:G262,1),LARGE(C262:G262,2),LARGE(C262:G262,3))</f>
        <v>151.33333333333334</v>
      </c>
      <c r="I262" s="95"/>
      <c r="J262" s="95"/>
      <c r="K262" s="95"/>
      <c r="L262" s="95"/>
      <c r="M262" s="95"/>
    </row>
    <row r="263" spans="1:13" ht="18.75" customHeight="1">
      <c r="A263" s="103">
        <v>4</v>
      </c>
      <c r="B263" s="128" t="s">
        <v>31</v>
      </c>
      <c r="C263" s="131">
        <v>148</v>
      </c>
      <c r="D263" s="295">
        <v>113</v>
      </c>
      <c r="E263" s="126">
        <v>145</v>
      </c>
      <c r="F263" s="119"/>
      <c r="G263" s="126">
        <v>146</v>
      </c>
      <c r="H263" s="190">
        <f>AVERAGE(LARGE(C263:G263,1),LARGE(C263:G263,2),LARGE(C263:G263,3))</f>
        <v>146.33333333333334</v>
      </c>
      <c r="I263" s="95"/>
      <c r="J263" s="95"/>
      <c r="K263" s="95"/>
      <c r="L263" s="95"/>
      <c r="M263" s="95"/>
    </row>
    <row r="264" spans="1:13" ht="18.75" customHeight="1">
      <c r="A264" s="103">
        <v>5</v>
      </c>
      <c r="B264" s="128" t="s">
        <v>57</v>
      </c>
      <c r="C264" s="215">
        <v>161</v>
      </c>
      <c r="D264" s="126">
        <v>86</v>
      </c>
      <c r="E264" s="308">
        <v>153</v>
      </c>
      <c r="F264" s="126">
        <v>115</v>
      </c>
      <c r="G264" s="119"/>
      <c r="H264" s="190">
        <f>AVERAGE(LARGE(C264:G264,1),LARGE(C264:G264,2),LARGE(C264:G264,3))</f>
        <v>143</v>
      </c>
      <c r="I264" s="95"/>
      <c r="J264" s="95"/>
      <c r="K264" s="95"/>
      <c r="L264" s="95"/>
      <c r="M264" s="95"/>
    </row>
    <row r="265" spans="1:13" ht="18.75" customHeight="1">
      <c r="A265" s="103">
        <v>6</v>
      </c>
      <c r="B265" s="163" t="s">
        <v>8</v>
      </c>
      <c r="C265" s="122"/>
      <c r="D265" s="150"/>
      <c r="E265" s="126">
        <v>102</v>
      </c>
      <c r="F265" s="126">
        <v>141</v>
      </c>
      <c r="G265" s="126">
        <v>137</v>
      </c>
      <c r="H265" s="190">
        <f>AVERAGE(LARGE(C265:G265,1),LARGE(C265:G265,2),LARGE(C265:G265,3))</f>
        <v>126.66666666666667</v>
      </c>
      <c r="I265" s="95"/>
      <c r="J265" s="95"/>
      <c r="K265" s="95"/>
      <c r="L265" s="95"/>
      <c r="M265" s="95"/>
    </row>
    <row r="266" spans="1:13" ht="18.75" customHeight="1">
      <c r="A266" s="103">
        <v>7</v>
      </c>
      <c r="B266" s="248" t="s">
        <v>52</v>
      </c>
      <c r="C266" s="309">
        <v>34</v>
      </c>
      <c r="D266" s="309">
        <v>117</v>
      </c>
      <c r="E266" s="310"/>
      <c r="F266" s="309">
        <v>61</v>
      </c>
      <c r="G266" s="304">
        <v>85</v>
      </c>
      <c r="H266" s="260">
        <f>AVERAGE(LARGE(C266:G266,1),LARGE(C266:G266,2),LARGE(C266:G266,3))</f>
        <v>87.66666666666667</v>
      </c>
      <c r="I266" s="95"/>
      <c r="J266" s="95"/>
      <c r="K266" s="95"/>
      <c r="L266" s="95"/>
      <c r="M266" s="95"/>
    </row>
    <row r="267" spans="1:13" ht="18.75" customHeight="1">
      <c r="A267" s="103">
        <v>8</v>
      </c>
      <c r="B267" s="128" t="s">
        <v>11</v>
      </c>
      <c r="C267" s="131">
        <v>71</v>
      </c>
      <c r="D267" s="295">
        <v>89</v>
      </c>
      <c r="E267" s="126">
        <v>91</v>
      </c>
      <c r="F267" s="126">
        <v>77</v>
      </c>
      <c r="G267" s="119"/>
      <c r="H267" s="190">
        <f>AVERAGE(LARGE(C267:G267,1),LARGE(C267:G267,2),LARGE(C267:G267,3))</f>
        <v>85.66666666666667</v>
      </c>
      <c r="I267" s="95"/>
      <c r="J267" s="95"/>
      <c r="K267" s="95"/>
      <c r="L267" s="95"/>
      <c r="M267" s="95"/>
    </row>
    <row r="268" spans="1:13" ht="18.75" customHeight="1">
      <c r="A268" s="103">
        <v>9</v>
      </c>
      <c r="B268" s="128" t="s">
        <v>40</v>
      </c>
      <c r="C268" s="131">
        <v>32</v>
      </c>
      <c r="D268" s="119"/>
      <c r="E268" s="126">
        <v>105</v>
      </c>
      <c r="F268" s="126">
        <v>119</v>
      </c>
      <c r="G268" s="119"/>
      <c r="H268" s="190">
        <f>AVERAGE(LARGE(C268:G268,1),LARGE(C268:G268,2),LARGE(C268:G268,3))</f>
        <v>85.33333333333333</v>
      </c>
      <c r="I268" s="95"/>
      <c r="J268" s="95"/>
      <c r="K268" s="95"/>
      <c r="L268" s="95"/>
      <c r="M268" s="95"/>
    </row>
    <row r="269" spans="1:13" ht="18.75" customHeight="1">
      <c r="A269" s="103">
        <v>10</v>
      </c>
      <c r="B269" s="128" t="s">
        <v>74</v>
      </c>
      <c r="C269" s="131">
        <v>94</v>
      </c>
      <c r="D269" s="119"/>
      <c r="E269" s="126">
        <v>63</v>
      </c>
      <c r="F269" s="126">
        <v>67</v>
      </c>
      <c r="G269" s="119"/>
      <c r="H269" s="190">
        <f>AVERAGE(LARGE(C269:G269,1),LARGE(C269:G269,2),LARGE(C269:G269,3))</f>
        <v>74.66666666666667</v>
      </c>
      <c r="I269" s="95"/>
      <c r="J269" s="95"/>
      <c r="K269" s="95"/>
      <c r="L269" s="95"/>
      <c r="M269" s="95"/>
    </row>
    <row r="270" spans="1:13" ht="18.75" customHeight="1">
      <c r="A270" s="103">
        <v>11</v>
      </c>
      <c r="B270" s="128" t="s">
        <v>46</v>
      </c>
      <c r="C270" s="131">
        <v>78</v>
      </c>
      <c r="D270" s="126">
        <v>94</v>
      </c>
      <c r="E270" s="126">
        <v>40</v>
      </c>
      <c r="F270" s="119"/>
      <c r="G270" s="119"/>
      <c r="H270" s="190">
        <f>AVERAGE(LARGE(C270:G270,1),LARGE(C270:G270,2),LARGE(C270:G270,3))</f>
        <v>70.66666666666667</v>
      </c>
      <c r="I270" s="95"/>
      <c r="J270" s="95"/>
      <c r="K270" s="95"/>
      <c r="L270" s="95"/>
      <c r="M270" s="95"/>
    </row>
    <row r="271" spans="1:13" ht="18.75" customHeight="1">
      <c r="A271" s="103">
        <v>12</v>
      </c>
      <c r="B271" s="163" t="s">
        <v>95</v>
      </c>
      <c r="C271" s="122"/>
      <c r="D271" s="126">
        <v>41</v>
      </c>
      <c r="E271" s="119"/>
      <c r="F271" s="119"/>
      <c r="G271" s="119"/>
      <c r="H271" s="121" t="e">
        <f>AVERAGE(LARGE(C271:G271,1),LARGE(C271:G271,2),LARGE(C271:G271,3))</f>
        <v>#VALUE!</v>
      </c>
      <c r="I271" s="95"/>
      <c r="J271" s="95"/>
      <c r="K271" s="95"/>
      <c r="L271" s="95"/>
      <c r="M271" s="95"/>
    </row>
    <row r="272" spans="1:13" ht="18.75" customHeight="1">
      <c r="A272" s="103">
        <v>13</v>
      </c>
      <c r="B272" s="163" t="s">
        <v>49</v>
      </c>
      <c r="C272" s="127">
        <v>66</v>
      </c>
      <c r="D272" s="119"/>
      <c r="E272" s="119"/>
      <c r="F272" s="119"/>
      <c r="G272" s="119"/>
      <c r="H272" s="121" t="e">
        <f>AVERAGE(LARGE(C272:G272,1),LARGE(C272:G272,2),LARGE(C272:G272,3))</f>
        <v>#VALUE!</v>
      </c>
      <c r="I272" s="95"/>
      <c r="J272" s="95"/>
      <c r="K272" s="95"/>
      <c r="L272" s="95"/>
      <c r="M272" s="95"/>
    </row>
    <row r="273" spans="1:13" ht="18.75" customHeight="1">
      <c r="A273" s="103">
        <v>14</v>
      </c>
      <c r="B273" s="128" t="s">
        <v>70</v>
      </c>
      <c r="C273" s="124"/>
      <c r="D273" s="150"/>
      <c r="E273" s="119"/>
      <c r="F273" s="119"/>
      <c r="G273" s="126">
        <v>57</v>
      </c>
      <c r="H273" s="121" t="e">
        <f>AVERAGE(LARGE(C273:G273,1),LARGE(C273:G273,2),LARGE(C273:G273,3))</f>
        <v>#VALUE!</v>
      </c>
      <c r="I273" s="95"/>
      <c r="J273" s="95"/>
      <c r="K273" s="95"/>
      <c r="L273" s="95"/>
      <c r="M273" s="95"/>
    </row>
    <row r="274" spans="1:13" ht="18.75" customHeight="1">
      <c r="A274" s="103">
        <v>15</v>
      </c>
      <c r="B274" s="128" t="s">
        <v>61</v>
      </c>
      <c r="C274" s="124"/>
      <c r="D274" s="150"/>
      <c r="E274" s="119"/>
      <c r="F274" s="119"/>
      <c r="G274" s="126">
        <v>48</v>
      </c>
      <c r="H274" s="121" t="e">
        <f>AVERAGE(LARGE(C274:G274,1),LARGE(C274:G274,2),LARGE(C274:G274,3))</f>
        <v>#VALUE!</v>
      </c>
      <c r="I274" s="95"/>
      <c r="J274" s="95"/>
      <c r="K274" s="95"/>
      <c r="L274" s="95"/>
      <c r="M274" s="95"/>
    </row>
    <row r="275" spans="1:13" ht="18.75" customHeight="1">
      <c r="A275" s="103">
        <v>16</v>
      </c>
      <c r="B275" s="123" t="s">
        <v>76</v>
      </c>
      <c r="C275" s="131">
        <v>18</v>
      </c>
      <c r="D275" s="119"/>
      <c r="E275" s="119"/>
      <c r="F275" s="119"/>
      <c r="G275" s="119"/>
      <c r="H275" s="121" t="e">
        <f>AVERAGE(LARGE(C275:G275,1),LARGE(C275:G275,2),LARGE(C275:G275,3))</f>
        <v>#VALUE!</v>
      </c>
      <c r="I275" s="95"/>
      <c r="J275" s="95"/>
      <c r="K275" s="95"/>
      <c r="L275" s="95"/>
      <c r="M275" s="95"/>
    </row>
    <row r="276" spans="1:13" ht="18.75" customHeight="1">
      <c r="A276" s="103">
        <v>17</v>
      </c>
      <c r="B276" s="163" t="s">
        <v>15</v>
      </c>
      <c r="C276" s="127">
        <v>26</v>
      </c>
      <c r="D276" s="119"/>
      <c r="E276" s="119"/>
      <c r="F276" s="119"/>
      <c r="G276" s="119"/>
      <c r="H276" s="121" t="e">
        <f>AVERAGE(LARGE(C276:G276,1),LARGE(C276:G276,2),LARGE(C276:G276,3))</f>
        <v>#VALUE!</v>
      </c>
      <c r="I276" s="95"/>
      <c r="J276" s="95"/>
      <c r="K276" s="95"/>
      <c r="L276" s="95"/>
      <c r="M276" s="95"/>
    </row>
    <row r="277" spans="1:13" ht="18.75" customHeight="1">
      <c r="A277" s="103">
        <v>18</v>
      </c>
      <c r="B277" s="248" t="s">
        <v>94</v>
      </c>
      <c r="C277" s="249"/>
      <c r="D277" s="304">
        <v>58</v>
      </c>
      <c r="E277" s="310"/>
      <c r="F277" s="310"/>
      <c r="G277" s="310"/>
      <c r="H277" s="253" t="e">
        <f>AVERAGE(LARGE(C277:G277,1),LARGE(C277:G277,2),LARGE(C277:G277,3))</f>
        <v>#VALUE!</v>
      </c>
      <c r="I277" s="95"/>
      <c r="J277" s="95"/>
      <c r="K277" s="95"/>
      <c r="L277" s="95"/>
      <c r="M277" s="95"/>
    </row>
    <row r="278" spans="1:13" ht="27.75" customHeight="1">
      <c r="A278" s="93"/>
      <c r="B278" s="199"/>
      <c r="C278" s="199"/>
      <c r="D278" s="199"/>
      <c r="E278" s="95"/>
      <c r="F278" s="95"/>
      <c r="G278" s="95"/>
      <c r="H278" s="95"/>
      <c r="I278" s="95"/>
      <c r="J278" s="95"/>
      <c r="K278" s="95"/>
      <c r="L278" s="95"/>
      <c r="M278" s="95"/>
    </row>
    <row r="279" spans="1:13" ht="27.75" customHeight="1">
      <c r="A279" s="96"/>
      <c r="B279" s="97" t="s">
        <v>239</v>
      </c>
      <c r="C279" s="97"/>
      <c r="D279" s="97"/>
      <c r="E279" s="97"/>
      <c r="F279" s="97"/>
      <c r="G279" s="97"/>
      <c r="H279" s="97"/>
      <c r="K279" s="95"/>
      <c r="L279" s="95"/>
      <c r="M279" s="95"/>
    </row>
    <row r="280" spans="1:13" ht="18.75" customHeight="1">
      <c r="A280" s="100"/>
      <c r="B280" s="101"/>
      <c r="C280" s="102">
        <v>1</v>
      </c>
      <c r="D280" s="102">
        <v>2</v>
      </c>
      <c r="E280" s="102">
        <v>3</v>
      </c>
      <c r="F280" s="102">
        <v>4</v>
      </c>
      <c r="G280" s="102">
        <v>5</v>
      </c>
      <c r="H280" s="102"/>
      <c r="I280" s="95"/>
      <c r="J280" s="95"/>
      <c r="K280" s="95"/>
      <c r="L280" s="95"/>
      <c r="M280" s="95"/>
    </row>
    <row r="281" spans="1:13" ht="18.75" customHeight="1">
      <c r="A281" s="103"/>
      <c r="B281" s="104" t="s">
        <v>3</v>
      </c>
      <c r="C281" s="105">
        <v>43555</v>
      </c>
      <c r="D281" s="106">
        <v>43590</v>
      </c>
      <c r="E281" s="106">
        <v>43674</v>
      </c>
      <c r="F281" s="106">
        <v>43736</v>
      </c>
      <c r="G281" s="106">
        <v>43799</v>
      </c>
      <c r="H281" s="108" t="s">
        <v>214</v>
      </c>
      <c r="I281" s="95"/>
      <c r="J281" s="95"/>
      <c r="K281" s="95"/>
      <c r="L281" s="95"/>
      <c r="M281" s="95"/>
    </row>
    <row r="282" spans="1:13" ht="24.75" customHeight="1">
      <c r="A282" s="103">
        <v>1</v>
      </c>
      <c r="B282" s="242" t="s">
        <v>54</v>
      </c>
      <c r="C282" s="243">
        <v>20</v>
      </c>
      <c r="D282" s="311"/>
      <c r="E282" s="311"/>
      <c r="F282" s="311"/>
      <c r="G282" s="312">
        <v>23</v>
      </c>
      <c r="H282" s="265"/>
      <c r="I282" s="95"/>
      <c r="J282" s="95"/>
      <c r="K282" s="95"/>
      <c r="L282" s="95"/>
      <c r="M282" s="95"/>
    </row>
    <row r="283" spans="1:13" ht="27" customHeight="1">
      <c r="A283" s="93"/>
      <c r="B283" s="6"/>
      <c r="C283" s="95"/>
      <c r="D283" s="95"/>
      <c r="E283" s="95"/>
      <c r="F283" s="95"/>
      <c r="G283" s="95"/>
      <c r="H283" s="95"/>
      <c r="I283" s="99"/>
      <c r="J283" s="99"/>
      <c r="K283" s="95"/>
      <c r="L283" s="95"/>
      <c r="M283" s="95"/>
    </row>
    <row r="284" spans="1:13" ht="27" customHeight="1">
      <c r="A284" s="96"/>
      <c r="B284" s="97" t="s">
        <v>240</v>
      </c>
      <c r="C284" s="97"/>
      <c r="D284" s="97"/>
      <c r="E284" s="98" t="s">
        <v>213</v>
      </c>
      <c r="F284" s="98"/>
      <c r="G284" s="98"/>
      <c r="H284" s="98"/>
      <c r="I284" s="99"/>
      <c r="J284" s="99"/>
      <c r="K284" s="95"/>
      <c r="L284" s="95"/>
      <c r="M284" s="95"/>
    </row>
    <row r="285" spans="1:13" ht="20.25" customHeight="1">
      <c r="A285" s="100"/>
      <c r="B285" s="101"/>
      <c r="C285" s="102">
        <v>1</v>
      </c>
      <c r="D285" s="102">
        <v>2</v>
      </c>
      <c r="E285" s="102">
        <v>3</v>
      </c>
      <c r="F285" s="102">
        <v>4</v>
      </c>
      <c r="G285" s="102">
        <v>5</v>
      </c>
      <c r="H285" s="102"/>
      <c r="I285" s="102"/>
      <c r="J285" s="102"/>
      <c r="K285" s="95"/>
      <c r="L285" s="95"/>
      <c r="M285" s="95"/>
    </row>
    <row r="286" spans="1:13" ht="20.25" customHeight="1">
      <c r="A286" s="103"/>
      <c r="B286" s="104" t="s">
        <v>3</v>
      </c>
      <c r="C286" s="105">
        <v>43568</v>
      </c>
      <c r="D286" s="106">
        <v>43632</v>
      </c>
      <c r="E286" s="106">
        <v>43701</v>
      </c>
      <c r="F286" s="183">
        <v>43744</v>
      </c>
      <c r="G286" s="106">
        <v>43800</v>
      </c>
      <c r="H286" s="108" t="s">
        <v>214</v>
      </c>
      <c r="I286" s="102"/>
      <c r="J286" s="102"/>
      <c r="K286" s="95"/>
      <c r="L286" s="95"/>
      <c r="M286" s="95"/>
    </row>
    <row r="287" spans="1:13" ht="21.75" customHeight="1">
      <c r="A287" s="103">
        <v>1</v>
      </c>
      <c r="B287" s="255" t="s">
        <v>175</v>
      </c>
      <c r="C287" s="124"/>
      <c r="D287" s="313">
        <v>67.5</v>
      </c>
      <c r="E287" s="313">
        <v>98.17</v>
      </c>
      <c r="F287" s="280">
        <v>100</v>
      </c>
      <c r="G287" s="280">
        <v>100</v>
      </c>
      <c r="H287" s="240">
        <f>AVERAGE(LARGE(C287:G287,1),LARGE(C287:G287,2),LARGE(C287:G287,3))</f>
        <v>99.39</v>
      </c>
      <c r="I287" s="102"/>
      <c r="J287" s="102"/>
      <c r="K287" s="95"/>
      <c r="L287" s="95"/>
      <c r="M287" s="95"/>
    </row>
    <row r="288" spans="1:13" ht="20.25" customHeight="1">
      <c r="A288" s="103">
        <v>2</v>
      </c>
      <c r="B288" s="123" t="s">
        <v>44</v>
      </c>
      <c r="C288" s="314">
        <v>78.35</v>
      </c>
      <c r="D288" s="315">
        <v>71.29</v>
      </c>
      <c r="E288" s="280">
        <v>100</v>
      </c>
      <c r="F288" s="316">
        <v>91.66</v>
      </c>
      <c r="G288" s="316">
        <v>69.41</v>
      </c>
      <c r="H288" s="145">
        <f>AVERAGE(LARGE(C288:G288,1),LARGE(C288:G288,2),LARGE(C288:G288,3))</f>
        <v>90.00333333333333</v>
      </c>
      <c r="I288" s="102"/>
      <c r="J288" s="102"/>
      <c r="K288" s="95"/>
      <c r="L288" s="95"/>
      <c r="M288" s="95"/>
    </row>
    <row r="289" spans="1:13" ht="20.25" customHeight="1">
      <c r="A289" s="103">
        <v>3</v>
      </c>
      <c r="B289" s="123" t="s">
        <v>41</v>
      </c>
      <c r="C289" s="314">
        <v>77.67</v>
      </c>
      <c r="D289" s="280">
        <v>100</v>
      </c>
      <c r="E289" s="315">
        <v>66.39</v>
      </c>
      <c r="F289" s="316">
        <v>85.94</v>
      </c>
      <c r="G289" s="316">
        <v>45.18</v>
      </c>
      <c r="H289" s="145">
        <f>AVERAGE(LARGE(C289:G289,1),LARGE(C289:G289,2),LARGE(C289:G289,3))</f>
        <v>87.87</v>
      </c>
      <c r="I289" s="102"/>
      <c r="J289" s="102"/>
      <c r="K289" s="95"/>
      <c r="L289" s="95"/>
      <c r="M289" s="95"/>
    </row>
    <row r="290" spans="1:13" ht="20.25" customHeight="1">
      <c r="A290" s="103">
        <v>4</v>
      </c>
      <c r="B290" s="128" t="s">
        <v>46</v>
      </c>
      <c r="C290" s="317">
        <v>100</v>
      </c>
      <c r="D290" s="313">
        <v>32.89</v>
      </c>
      <c r="E290" s="315">
        <v>43.48</v>
      </c>
      <c r="F290" s="313">
        <v>49.45</v>
      </c>
      <c r="G290" s="313">
        <v>25.58</v>
      </c>
      <c r="H290" s="190">
        <f>AVERAGE(LARGE(C290:G290,1),LARGE(C290:G290,2),LARGE(C290:G290,3))</f>
        <v>64.30999999999999</v>
      </c>
      <c r="I290" s="102"/>
      <c r="J290" s="102"/>
      <c r="K290" s="95"/>
      <c r="L290" s="95"/>
      <c r="M290" s="95"/>
    </row>
    <row r="291" spans="1:13" ht="20.25" customHeight="1">
      <c r="A291" s="103">
        <v>5</v>
      </c>
      <c r="B291" s="123" t="s">
        <v>47</v>
      </c>
      <c r="C291" s="314">
        <v>62.56</v>
      </c>
      <c r="D291" s="315">
        <v>28.62</v>
      </c>
      <c r="E291" s="315">
        <v>47.48</v>
      </c>
      <c r="F291" s="316">
        <v>74.99</v>
      </c>
      <c r="G291" s="318"/>
      <c r="H291" s="145">
        <f>AVERAGE(LARGE(C291:G291,1),LARGE(C291:G291,2),LARGE(C291:G291,3))</f>
        <v>61.67666666666667</v>
      </c>
      <c r="I291" s="102"/>
      <c r="J291" s="102"/>
      <c r="K291" s="95"/>
      <c r="L291" s="95"/>
      <c r="M291" s="95"/>
    </row>
    <row r="292" spans="1:13" ht="20.25" customHeight="1">
      <c r="A292" s="103">
        <v>6</v>
      </c>
      <c r="B292" s="319" t="s">
        <v>19</v>
      </c>
      <c r="C292" s="320">
        <v>69.22</v>
      </c>
      <c r="D292" s="321">
        <v>42.26</v>
      </c>
      <c r="E292" s="322"/>
      <c r="F292" s="321">
        <v>70.52</v>
      </c>
      <c r="G292" s="321">
        <v>29.99</v>
      </c>
      <c r="H292" s="260">
        <f>AVERAGE(LARGE(C292:G292,1),LARGE(C292:G292,2),LARGE(C292:G292,3))</f>
        <v>60.666666666666664</v>
      </c>
      <c r="I292" s="102"/>
      <c r="J292" s="102"/>
      <c r="K292" s="95"/>
      <c r="L292" s="95"/>
      <c r="M292" s="95"/>
    </row>
    <row r="293" spans="1:13" ht="20.25" customHeight="1">
      <c r="A293" s="103">
        <v>7</v>
      </c>
      <c r="B293" s="123" t="s">
        <v>79</v>
      </c>
      <c r="C293" s="314">
        <v>0</v>
      </c>
      <c r="D293" s="323"/>
      <c r="E293" s="313">
        <v>65.66</v>
      </c>
      <c r="F293" s="313">
        <v>95.26</v>
      </c>
      <c r="G293" s="323"/>
      <c r="H293" s="190">
        <f>AVERAGE(LARGE(C293:G293,1),LARGE(C293:G293,2),LARGE(C293:G293,3))</f>
        <v>53.64000000000001</v>
      </c>
      <c r="I293" s="102"/>
      <c r="J293" s="102"/>
      <c r="K293" s="95"/>
      <c r="L293" s="95"/>
      <c r="M293" s="95"/>
    </row>
    <row r="294" spans="1:13" ht="20.25" customHeight="1">
      <c r="A294" s="103">
        <v>8</v>
      </c>
      <c r="B294" s="123" t="s">
        <v>43</v>
      </c>
      <c r="C294" s="314">
        <v>31.33</v>
      </c>
      <c r="D294" s="315">
        <v>27.77</v>
      </c>
      <c r="E294" s="313">
        <v>53.87</v>
      </c>
      <c r="F294" s="313">
        <v>42.55</v>
      </c>
      <c r="G294" s="313">
        <v>33.85</v>
      </c>
      <c r="H294" s="190">
        <f>AVERAGE(LARGE(C294:G294,1),LARGE(C294:G294,2),LARGE(C294:G294,3))</f>
        <v>43.423333333333325</v>
      </c>
      <c r="I294" s="102"/>
      <c r="J294" s="102"/>
      <c r="K294" s="95"/>
      <c r="L294" s="95"/>
      <c r="M294" s="95"/>
    </row>
    <row r="295" spans="1:13" ht="20.25" customHeight="1">
      <c r="A295" s="103">
        <v>9</v>
      </c>
      <c r="B295" s="319" t="s">
        <v>61</v>
      </c>
      <c r="C295" s="124"/>
      <c r="D295" s="313">
        <v>22.94</v>
      </c>
      <c r="E295" s="316">
        <v>24.7</v>
      </c>
      <c r="F295" s="316">
        <v>41.42</v>
      </c>
      <c r="G295" s="313">
        <v>18.85</v>
      </c>
      <c r="H295" s="190">
        <f>AVERAGE(LARGE(C295:G295,1),LARGE(C295:G295,2),LARGE(C295:G295,3))</f>
        <v>29.686666666666667</v>
      </c>
      <c r="I295" s="102"/>
      <c r="J295" s="102"/>
      <c r="K295" s="95"/>
      <c r="L295" s="95"/>
      <c r="M295" s="95"/>
    </row>
    <row r="296" spans="1:13" ht="20.25" customHeight="1">
      <c r="A296" s="103">
        <v>10</v>
      </c>
      <c r="B296" s="319" t="s">
        <v>52</v>
      </c>
      <c r="C296" s="318"/>
      <c r="D296" s="318"/>
      <c r="E296" s="318"/>
      <c r="F296" s="318"/>
      <c r="G296" s="313">
        <v>26.67</v>
      </c>
      <c r="H296" s="121" t="e">
        <f>AVERAGE(LARGE(C296:G296,1),LARGE(C296:G296,2),LARGE(C296:G296,3))</f>
        <v>#VALUE!</v>
      </c>
      <c r="I296" s="102"/>
      <c r="J296" s="102"/>
      <c r="K296" s="95"/>
      <c r="L296" s="95"/>
      <c r="M296" s="95"/>
    </row>
    <row r="297" spans="1:13" ht="20.25" customHeight="1">
      <c r="A297" s="103">
        <v>11</v>
      </c>
      <c r="B297" s="123" t="s">
        <v>92</v>
      </c>
      <c r="C297" s="124"/>
      <c r="D297" s="313">
        <v>0.14</v>
      </c>
      <c r="E297" s="323"/>
      <c r="F297" s="313">
        <v>21.11</v>
      </c>
      <c r="G297" s="323"/>
      <c r="H297" s="121" t="e">
        <f>AVERAGE(LARGE(C297:G297,1),LARGE(C297:G297,2),LARGE(C297:G297,3))</f>
        <v>#VALUE!</v>
      </c>
      <c r="I297" s="102"/>
      <c r="J297" s="102"/>
      <c r="K297" s="95"/>
      <c r="L297" s="95"/>
      <c r="M297" s="95"/>
    </row>
    <row r="298" spans="1:13" ht="20.25" customHeight="1">
      <c r="A298" s="103">
        <v>12</v>
      </c>
      <c r="B298" s="123" t="s">
        <v>38</v>
      </c>
      <c r="C298" s="314">
        <v>43.42</v>
      </c>
      <c r="D298" s="323"/>
      <c r="E298" s="324"/>
      <c r="F298" s="323"/>
      <c r="G298" s="323"/>
      <c r="H298" s="121" t="e">
        <f>AVERAGE(LARGE(C298:G298,1),LARGE(C298:G298,2),LARGE(C298:G298,3))</f>
        <v>#VALUE!</v>
      </c>
      <c r="I298" s="102"/>
      <c r="J298" s="102"/>
      <c r="K298" s="95"/>
      <c r="L298" s="95"/>
      <c r="M298" s="95"/>
    </row>
    <row r="299" spans="1:13" ht="20.25" customHeight="1">
      <c r="A299" s="103">
        <v>13</v>
      </c>
      <c r="B299" s="123" t="s">
        <v>83</v>
      </c>
      <c r="C299" s="314">
        <v>52.02</v>
      </c>
      <c r="D299" s="313">
        <v>85.01</v>
      </c>
      <c r="E299" s="323"/>
      <c r="F299" s="323"/>
      <c r="G299" s="323"/>
      <c r="H299" s="121" t="e">
        <f>AVERAGE(LARGE(C299:G299,1),LARGE(C299:G299,2),LARGE(C299:G299,3))</f>
        <v>#VALUE!</v>
      </c>
      <c r="I299" s="102"/>
      <c r="J299" s="102"/>
      <c r="K299" s="95"/>
      <c r="L299" s="95"/>
      <c r="M299" s="95"/>
    </row>
    <row r="300" spans="1:13" ht="20.25" customHeight="1">
      <c r="A300" s="103">
        <v>14</v>
      </c>
      <c r="B300" s="123" t="s">
        <v>57</v>
      </c>
      <c r="C300" s="314">
        <v>62.21</v>
      </c>
      <c r="D300" s="313">
        <v>24.72</v>
      </c>
      <c r="E300" s="323"/>
      <c r="F300" s="323"/>
      <c r="G300" s="323"/>
      <c r="H300" s="121" t="e">
        <f>AVERAGE(LARGE(C300:G300,1),LARGE(C300:G300,2),LARGE(C300:G300,3))</f>
        <v>#VALUE!</v>
      </c>
      <c r="I300" s="102"/>
      <c r="J300" s="102"/>
      <c r="K300" s="95"/>
      <c r="L300" s="95"/>
      <c r="M300" s="95"/>
    </row>
    <row r="301" spans="1:13" ht="20.25" customHeight="1">
      <c r="A301" s="103">
        <v>15</v>
      </c>
      <c r="B301" s="123" t="s">
        <v>23</v>
      </c>
      <c r="C301" s="314">
        <v>61.17</v>
      </c>
      <c r="D301" s="323"/>
      <c r="E301" s="313">
        <v>56.82</v>
      </c>
      <c r="F301" s="325"/>
      <c r="G301" s="323"/>
      <c r="H301" s="121" t="e">
        <f>AVERAGE(LARGE(C301:G301,1),LARGE(C301:G301,2),LARGE(C301:G301,3))</f>
        <v>#VALUE!</v>
      </c>
      <c r="I301" s="102"/>
      <c r="J301" s="102"/>
      <c r="K301" s="95"/>
      <c r="L301" s="95"/>
      <c r="M301" s="95"/>
    </row>
    <row r="302" spans="1:13" ht="20.25" customHeight="1">
      <c r="A302" s="103">
        <v>16</v>
      </c>
      <c r="B302" s="123" t="s">
        <v>70</v>
      </c>
      <c r="C302" s="279"/>
      <c r="D302" s="278"/>
      <c r="E302" s="316">
        <v>27.7</v>
      </c>
      <c r="F302" s="318"/>
      <c r="G302" s="323"/>
      <c r="H302" s="121"/>
      <c r="I302" s="102"/>
      <c r="J302" s="102"/>
      <c r="K302" s="95"/>
      <c r="L302" s="95"/>
      <c r="M302" s="95"/>
    </row>
    <row r="303" spans="1:13" ht="20.25" customHeight="1">
      <c r="A303" s="103">
        <v>17</v>
      </c>
      <c r="B303" s="123" t="s">
        <v>80</v>
      </c>
      <c r="C303" s="279"/>
      <c r="D303" s="278"/>
      <c r="E303" s="313">
        <v>31.03</v>
      </c>
      <c r="F303" s="323"/>
      <c r="G303" s="323"/>
      <c r="H303" s="121"/>
      <c r="I303" s="102"/>
      <c r="J303" s="102"/>
      <c r="K303" s="95"/>
      <c r="L303" s="95"/>
      <c r="M303" s="95"/>
    </row>
    <row r="304" spans="1:13" ht="20.25" customHeight="1">
      <c r="A304" s="103">
        <v>18</v>
      </c>
      <c r="B304" s="123" t="s">
        <v>207</v>
      </c>
      <c r="C304" s="279"/>
      <c r="D304" s="326"/>
      <c r="E304" s="326"/>
      <c r="F304" s="316">
        <v>61.1</v>
      </c>
      <c r="G304" s="323"/>
      <c r="H304" s="121"/>
      <c r="I304" s="102"/>
      <c r="J304" s="102"/>
      <c r="K304" s="95"/>
      <c r="L304" s="95"/>
      <c r="M304" s="95"/>
    </row>
    <row r="305" spans="1:13" ht="20.25" customHeight="1">
      <c r="A305" s="103">
        <v>19</v>
      </c>
      <c r="B305" s="116" t="s">
        <v>241</v>
      </c>
      <c r="C305" s="285"/>
      <c r="D305" s="326"/>
      <c r="E305" s="313">
        <v>64.51</v>
      </c>
      <c r="F305" s="323"/>
      <c r="G305" s="323"/>
      <c r="H305" s="121"/>
      <c r="I305" s="102"/>
      <c r="J305" s="102"/>
      <c r="K305" s="95"/>
      <c r="L305" s="95"/>
      <c r="M305" s="95"/>
    </row>
    <row r="306" spans="1:13" ht="20.25" customHeight="1">
      <c r="A306" s="103">
        <v>20</v>
      </c>
      <c r="B306" s="123" t="s">
        <v>199</v>
      </c>
      <c r="C306" s="279"/>
      <c r="D306" s="326"/>
      <c r="E306" s="315">
        <v>46.76</v>
      </c>
      <c r="F306" s="318"/>
      <c r="G306" s="318"/>
      <c r="H306" s="298"/>
      <c r="I306" s="102"/>
      <c r="J306" s="102"/>
      <c r="K306" s="95"/>
      <c r="L306" s="95"/>
      <c r="M306" s="95"/>
    </row>
    <row r="307" spans="1:13" ht="20.25" customHeight="1">
      <c r="A307" s="103">
        <v>21</v>
      </c>
      <c r="B307" s="123" t="s">
        <v>74</v>
      </c>
      <c r="C307" s="279"/>
      <c r="D307" s="326"/>
      <c r="E307" s="315">
        <v>25.03</v>
      </c>
      <c r="F307" s="316">
        <v>42.5</v>
      </c>
      <c r="G307" s="318"/>
      <c r="H307" s="298"/>
      <c r="I307" s="102"/>
      <c r="J307" s="102"/>
      <c r="K307" s="95"/>
      <c r="L307" s="95"/>
      <c r="M307" s="95"/>
    </row>
    <row r="308" spans="1:13" ht="20.25" customHeight="1">
      <c r="A308" s="103">
        <v>22</v>
      </c>
      <c r="B308" s="123" t="s">
        <v>40</v>
      </c>
      <c r="C308" s="279"/>
      <c r="D308" s="326"/>
      <c r="E308" s="326"/>
      <c r="F308" s="316">
        <v>99.65</v>
      </c>
      <c r="G308" s="318"/>
      <c r="H308" s="298"/>
      <c r="I308" s="102"/>
      <c r="J308" s="102"/>
      <c r="K308" s="95"/>
      <c r="L308" s="95"/>
      <c r="M308" s="95"/>
    </row>
    <row r="309" spans="1:13" ht="20.25" customHeight="1">
      <c r="A309" s="103">
        <v>23</v>
      </c>
      <c r="B309" s="123" t="s">
        <v>21</v>
      </c>
      <c r="C309" s="279"/>
      <c r="D309" s="326"/>
      <c r="E309" s="315">
        <v>11.05</v>
      </c>
      <c r="F309" s="318"/>
      <c r="G309" s="318"/>
      <c r="H309" s="298"/>
      <c r="I309" s="102"/>
      <c r="J309" s="102"/>
      <c r="K309" s="95"/>
      <c r="L309" s="95"/>
      <c r="M309" s="95"/>
    </row>
    <row r="310" spans="1:13" ht="27" customHeight="1">
      <c r="A310" s="93"/>
      <c r="B310" s="199"/>
      <c r="C310" s="199"/>
      <c r="D310" s="199"/>
      <c r="E310" s="95"/>
      <c r="F310" s="95"/>
      <c r="G310" s="95"/>
      <c r="H310" s="95"/>
      <c r="I310" s="102"/>
      <c r="J310" s="102"/>
      <c r="K310" s="95"/>
      <c r="L310" s="95"/>
      <c r="M310" s="95"/>
    </row>
    <row r="311" spans="1:13" ht="27" customHeight="1">
      <c r="A311" s="96"/>
      <c r="B311" s="97" t="s">
        <v>242</v>
      </c>
      <c r="C311" s="97"/>
      <c r="D311" s="97"/>
      <c r="E311" s="98" t="s">
        <v>213</v>
      </c>
      <c r="F311" s="98"/>
      <c r="G311" s="98"/>
      <c r="H311" s="98"/>
      <c r="I311" s="102"/>
      <c r="J311" s="102"/>
      <c r="K311" s="95"/>
      <c r="L311" s="95"/>
      <c r="M311" s="95"/>
    </row>
    <row r="312" spans="1:13" ht="20.25" customHeight="1">
      <c r="A312" s="100"/>
      <c r="B312" s="101"/>
      <c r="C312" s="102">
        <v>1</v>
      </c>
      <c r="D312" s="102">
        <v>2</v>
      </c>
      <c r="E312" s="102">
        <v>3</v>
      </c>
      <c r="F312" s="102">
        <v>4</v>
      </c>
      <c r="G312" s="102">
        <v>5</v>
      </c>
      <c r="H312" s="102"/>
      <c r="I312" s="102"/>
      <c r="J312" s="102"/>
      <c r="K312" s="95"/>
      <c r="L312" s="95"/>
      <c r="M312" s="95"/>
    </row>
    <row r="313" spans="1:13" ht="20.25" customHeight="1">
      <c r="A313" s="103"/>
      <c r="B313" s="104" t="s">
        <v>3</v>
      </c>
      <c r="C313" s="105">
        <v>43568</v>
      </c>
      <c r="D313" s="106">
        <v>43632</v>
      </c>
      <c r="E313" s="106">
        <v>43701</v>
      </c>
      <c r="F313" s="106">
        <v>43764</v>
      </c>
      <c r="G313" s="106">
        <v>43800</v>
      </c>
      <c r="H313" s="108" t="s">
        <v>214</v>
      </c>
      <c r="I313" s="102"/>
      <c r="J313" s="102"/>
      <c r="K313" s="95"/>
      <c r="L313" s="95"/>
      <c r="M313" s="95"/>
    </row>
    <row r="314" spans="1:13" ht="25.5" customHeight="1">
      <c r="A314" s="103">
        <v>1</v>
      </c>
      <c r="B314" s="255" t="s">
        <v>44</v>
      </c>
      <c r="C314" s="314">
        <v>89.53</v>
      </c>
      <c r="D314" s="268">
        <v>100</v>
      </c>
      <c r="E314" s="268">
        <v>100</v>
      </c>
      <c r="F314" s="268">
        <v>100</v>
      </c>
      <c r="G314" s="323"/>
      <c r="H314" s="240">
        <f>AVERAGE(LARGE(C314:G314,1),LARGE(C314:G314,2),LARGE(C314:G314,3))</f>
        <v>100</v>
      </c>
      <c r="I314" s="102"/>
      <c r="J314" s="102"/>
      <c r="K314" s="95"/>
      <c r="L314" s="95"/>
      <c r="M314" s="95"/>
    </row>
    <row r="315" spans="1:13" ht="20.25" customHeight="1">
      <c r="A315" s="103">
        <v>2</v>
      </c>
      <c r="B315" s="116" t="s">
        <v>41</v>
      </c>
      <c r="C315" s="327">
        <v>86.11</v>
      </c>
      <c r="D315" s="313">
        <v>97.98</v>
      </c>
      <c r="E315" s="313">
        <v>78.05</v>
      </c>
      <c r="F315" s="313">
        <v>55.92</v>
      </c>
      <c r="G315" s="328">
        <v>88.31</v>
      </c>
      <c r="H315" s="190">
        <f>AVERAGE(LARGE(C315:G315,1),LARGE(C315:G315,2),LARGE(C315:G315,3))</f>
        <v>90.80000000000001</v>
      </c>
      <c r="I315" s="102"/>
      <c r="J315" s="102"/>
      <c r="K315" s="95"/>
      <c r="L315" s="95"/>
      <c r="M315" s="95"/>
    </row>
    <row r="316" spans="1:13" ht="20.25" customHeight="1">
      <c r="A316" s="103">
        <v>3</v>
      </c>
      <c r="B316" s="123" t="s">
        <v>46</v>
      </c>
      <c r="C316" s="314">
        <v>57.92</v>
      </c>
      <c r="D316" s="313">
        <v>51.8</v>
      </c>
      <c r="E316" s="313">
        <v>31.62</v>
      </c>
      <c r="F316" s="313">
        <v>39.48</v>
      </c>
      <c r="G316" s="268">
        <v>100</v>
      </c>
      <c r="H316" s="190">
        <f>AVERAGE(LARGE(C316:G316,1),LARGE(C316:G316,2),LARGE(C316:G316,3))</f>
        <v>69.90666666666668</v>
      </c>
      <c r="I316" s="102"/>
      <c r="J316" s="102"/>
      <c r="K316" s="95"/>
      <c r="L316" s="95"/>
      <c r="M316" s="95"/>
    </row>
    <row r="317" spans="1:13" ht="20.25" customHeight="1">
      <c r="A317" s="103">
        <v>4</v>
      </c>
      <c r="B317" s="319" t="s">
        <v>19</v>
      </c>
      <c r="C317" s="320">
        <v>41.29</v>
      </c>
      <c r="D317" s="321">
        <v>54.89</v>
      </c>
      <c r="E317" s="322"/>
      <c r="F317" s="321">
        <v>62.57</v>
      </c>
      <c r="G317" s="321">
        <v>89.42</v>
      </c>
      <c r="H317" s="260">
        <f>AVERAGE(LARGE(C317:G317,1),LARGE(C317:G317,2),LARGE(C317:G317,3))</f>
        <v>68.96</v>
      </c>
      <c r="I317" s="102"/>
      <c r="J317" s="102"/>
      <c r="K317" s="95"/>
      <c r="L317" s="95"/>
      <c r="M317" s="95"/>
    </row>
    <row r="318" spans="1:13" ht="20.25" customHeight="1">
      <c r="A318" s="103">
        <v>5</v>
      </c>
      <c r="B318" s="116" t="s">
        <v>47</v>
      </c>
      <c r="C318" s="327">
        <v>53.36</v>
      </c>
      <c r="D318" s="313">
        <v>66.78</v>
      </c>
      <c r="E318" s="315">
        <v>58.35</v>
      </c>
      <c r="F318" s="316">
        <v>40.84</v>
      </c>
      <c r="G318" s="318"/>
      <c r="H318" s="190">
        <f>AVERAGE(LARGE(C318:G318,1),LARGE(C318:G318,2),LARGE(C318:G318,3))</f>
        <v>59.49666666666667</v>
      </c>
      <c r="I318" s="102"/>
      <c r="J318" s="102"/>
      <c r="K318" s="95"/>
      <c r="L318" s="95"/>
      <c r="M318" s="95"/>
    </row>
    <row r="319" spans="1:13" ht="20.25" customHeight="1">
      <c r="A319" s="103">
        <v>6</v>
      </c>
      <c r="B319" s="319" t="s">
        <v>175</v>
      </c>
      <c r="C319" s="277"/>
      <c r="D319" s="313">
        <v>49.29</v>
      </c>
      <c r="E319" s="329">
        <v>52.26</v>
      </c>
      <c r="F319" s="313">
        <v>34.1</v>
      </c>
      <c r="G319" s="313">
        <v>76.09</v>
      </c>
      <c r="H319" s="190">
        <f>AVERAGE(LARGE(C319:G319,1),LARGE(C319:G319,2),LARGE(C319:G319,3))</f>
        <v>59.21333333333333</v>
      </c>
      <c r="I319" s="102"/>
      <c r="J319" s="102"/>
      <c r="K319" s="95"/>
      <c r="L319" s="95"/>
      <c r="M319" s="95"/>
    </row>
    <row r="320" spans="1:13" ht="20.25" customHeight="1">
      <c r="A320" s="103">
        <v>7</v>
      </c>
      <c r="B320" s="319" t="s">
        <v>52</v>
      </c>
      <c r="C320" s="318"/>
      <c r="D320" s="318"/>
      <c r="E320" s="318"/>
      <c r="F320" s="318"/>
      <c r="G320" s="313">
        <v>44.35</v>
      </c>
      <c r="H320" s="121" t="e">
        <f>AVERAGE(LARGE(C320:G320,1),LARGE(C320:G320,2),LARGE(C320:G320,3))</f>
        <v>#VALUE!</v>
      </c>
      <c r="I320" s="102"/>
      <c r="J320" s="102"/>
      <c r="K320" s="95"/>
      <c r="L320" s="95"/>
      <c r="M320" s="95"/>
    </row>
    <row r="321" spans="1:13" ht="20.25" customHeight="1">
      <c r="A321" s="103">
        <v>8</v>
      </c>
      <c r="B321" s="123" t="s">
        <v>38</v>
      </c>
      <c r="C321" s="314">
        <v>42.2</v>
      </c>
      <c r="D321" s="323"/>
      <c r="E321" s="323"/>
      <c r="F321" s="323"/>
      <c r="G321" s="323"/>
      <c r="H321" s="121" t="e">
        <f>AVERAGE(LARGE(C321:G321,1),LARGE(C321:G321,2),LARGE(C321:G321,3))</f>
        <v>#VALUE!</v>
      </c>
      <c r="I321" s="102"/>
      <c r="J321" s="102"/>
      <c r="K321" s="95"/>
      <c r="L321" s="95"/>
      <c r="M321" s="95"/>
    </row>
    <row r="322" spans="1:13" ht="20.25" customHeight="1">
      <c r="A322" s="103">
        <v>9</v>
      </c>
      <c r="B322" s="128" t="s">
        <v>83</v>
      </c>
      <c r="C322" s="317">
        <v>100</v>
      </c>
      <c r="D322" s="313">
        <v>79.11</v>
      </c>
      <c r="E322" s="318"/>
      <c r="F322" s="318"/>
      <c r="G322" s="323"/>
      <c r="H322" s="121" t="e">
        <f>AVERAGE(LARGE(C322:G322,1),LARGE(C322:G322,2),LARGE(C322:G322,3))</f>
        <v>#VALUE!</v>
      </c>
      <c r="I322" s="102"/>
      <c r="J322" s="102"/>
      <c r="K322" s="95"/>
      <c r="L322" s="95"/>
      <c r="M322" s="95"/>
    </row>
    <row r="323" spans="1:13" ht="20.25" customHeight="1">
      <c r="A323" s="103">
        <v>10</v>
      </c>
      <c r="B323" s="123" t="s">
        <v>57</v>
      </c>
      <c r="C323" s="314">
        <v>46.57</v>
      </c>
      <c r="D323" s="313">
        <v>44.19</v>
      </c>
      <c r="E323" s="324"/>
      <c r="F323" s="323"/>
      <c r="G323" s="323"/>
      <c r="H323" s="121" t="e">
        <f>AVERAGE(LARGE(C323:G323,1),LARGE(C323:G323,2),LARGE(C323:G323,3))</f>
        <v>#VALUE!</v>
      </c>
      <c r="I323" s="102"/>
      <c r="J323" s="102"/>
      <c r="K323" s="95"/>
      <c r="L323" s="95"/>
      <c r="M323" s="95"/>
    </row>
    <row r="324" spans="1:13" ht="20.25" customHeight="1">
      <c r="A324" s="103">
        <v>11</v>
      </c>
      <c r="B324" s="123" t="s">
        <v>23</v>
      </c>
      <c r="C324" s="314">
        <v>51.5</v>
      </c>
      <c r="D324" s="323"/>
      <c r="E324" s="323"/>
      <c r="F324" s="323"/>
      <c r="G324" s="323"/>
      <c r="H324" s="121" t="e">
        <f>AVERAGE(LARGE(C324:G324,1),LARGE(C324:G324,2),LARGE(C324:G324,3))</f>
        <v>#VALUE!</v>
      </c>
      <c r="I324" s="102"/>
      <c r="J324" s="102"/>
      <c r="K324" s="95"/>
      <c r="L324" s="95"/>
      <c r="M324" s="95"/>
    </row>
    <row r="325" spans="1:13" ht="20.25" customHeight="1">
      <c r="A325" s="103">
        <v>12</v>
      </c>
      <c r="B325" s="123" t="s">
        <v>23</v>
      </c>
      <c r="C325" s="314">
        <v>51.5</v>
      </c>
      <c r="D325" s="323"/>
      <c r="E325" s="323"/>
      <c r="F325" s="323"/>
      <c r="G325" s="323"/>
      <c r="H325" s="121" t="e">
        <f>AVERAGE(LARGE(C325:G325,1),LARGE(C325:G325,2),LARGE(C325:G325,3))</f>
        <v>#VALUE!</v>
      </c>
      <c r="I325" s="102"/>
      <c r="J325" s="102"/>
      <c r="K325" s="95"/>
      <c r="L325" s="95"/>
      <c r="M325" s="95"/>
    </row>
    <row r="326" spans="1:13" ht="20.25" customHeight="1">
      <c r="A326" s="103">
        <v>13</v>
      </c>
      <c r="B326" s="123" t="s">
        <v>74</v>
      </c>
      <c r="C326" s="279"/>
      <c r="D326" s="330"/>
      <c r="E326" s="315">
        <v>67.51</v>
      </c>
      <c r="F326" s="313">
        <v>49.73</v>
      </c>
      <c r="G326" s="119"/>
      <c r="H326" s="121" t="e">
        <f>AVERAGE(LARGE(C326:G326,1),LARGE(C326:G326,2),LARGE(C326:G326,3))</f>
        <v>#VALUE!</v>
      </c>
      <c r="I326" s="102"/>
      <c r="J326" s="102"/>
      <c r="K326" s="95"/>
      <c r="L326" s="95"/>
      <c r="M326" s="95"/>
    </row>
    <row r="327" spans="1:13" ht="20.25" customHeight="1">
      <c r="A327" s="103">
        <v>14</v>
      </c>
      <c r="B327" s="123" t="s">
        <v>11</v>
      </c>
      <c r="C327" s="279"/>
      <c r="D327" s="278"/>
      <c r="E327" s="326"/>
      <c r="F327" s="313">
        <v>30.14</v>
      </c>
      <c r="G327" s="323"/>
      <c r="H327" s="121"/>
      <c r="I327" s="102"/>
      <c r="J327" s="102"/>
      <c r="K327" s="95"/>
      <c r="L327" s="95"/>
      <c r="M327" s="95"/>
    </row>
    <row r="328" spans="1:13" ht="20.25" customHeight="1">
      <c r="A328" s="103">
        <v>15</v>
      </c>
      <c r="B328" s="319" t="s">
        <v>40</v>
      </c>
      <c r="C328" s="277"/>
      <c r="D328" s="288"/>
      <c r="E328" s="331"/>
      <c r="F328" s="321">
        <v>37.89</v>
      </c>
      <c r="G328" s="322"/>
      <c r="H328" s="253"/>
      <c r="I328" s="102"/>
      <c r="J328" s="102"/>
      <c r="K328" s="95"/>
      <c r="L328" s="95"/>
      <c r="M328" s="95"/>
    </row>
    <row r="329" spans="1:13" ht="27" customHeight="1">
      <c r="A329" s="93"/>
      <c r="B329" s="6"/>
      <c r="C329" s="95"/>
      <c r="D329" s="95"/>
      <c r="E329" s="95"/>
      <c r="F329" s="95"/>
      <c r="G329" s="95"/>
      <c r="H329" s="95"/>
      <c r="I329" s="102"/>
      <c r="J329" s="102"/>
      <c r="K329" s="95"/>
      <c r="L329" s="95"/>
      <c r="M329" s="95"/>
    </row>
    <row r="330" spans="1:13" ht="27" customHeight="1">
      <c r="A330" s="96"/>
      <c r="B330" s="97" t="s">
        <v>243</v>
      </c>
      <c r="C330" s="97"/>
      <c r="D330" s="97"/>
      <c r="E330" s="98" t="s">
        <v>213</v>
      </c>
      <c r="F330" s="98"/>
      <c r="G330" s="98"/>
      <c r="H330" s="98"/>
      <c r="I330" s="99"/>
      <c r="J330" s="102"/>
      <c r="K330" s="95"/>
      <c r="L330" s="95"/>
      <c r="M330" s="95"/>
    </row>
    <row r="331" spans="1:13" ht="22.5" customHeight="1">
      <c r="A331" s="100"/>
      <c r="B331" s="101"/>
      <c r="C331" s="102">
        <v>1</v>
      </c>
      <c r="D331" s="102">
        <v>2</v>
      </c>
      <c r="E331" s="102">
        <v>3</v>
      </c>
      <c r="F331" s="102">
        <v>4</v>
      </c>
      <c r="G331" s="102">
        <v>5</v>
      </c>
      <c r="H331" s="102"/>
      <c r="I331" s="99"/>
      <c r="J331" s="102"/>
      <c r="K331" s="95"/>
      <c r="L331" s="95"/>
      <c r="M331" s="95"/>
    </row>
    <row r="332" spans="1:13" ht="22.5" customHeight="1">
      <c r="A332" s="103"/>
      <c r="B332" s="104" t="s">
        <v>3</v>
      </c>
      <c r="C332" s="105">
        <v>43561</v>
      </c>
      <c r="D332" s="106">
        <v>43617</v>
      </c>
      <c r="E332" s="106">
        <v>43688</v>
      </c>
      <c r="F332" s="106">
        <v>43743</v>
      </c>
      <c r="G332" s="106">
        <v>43806</v>
      </c>
      <c r="H332" s="108" t="s">
        <v>214</v>
      </c>
      <c r="I332" s="99"/>
      <c r="J332" s="102"/>
      <c r="K332" s="95"/>
      <c r="L332" s="95"/>
      <c r="M332" s="95"/>
    </row>
    <row r="333" spans="1:13" ht="26.25" customHeight="1">
      <c r="A333" s="103">
        <v>1</v>
      </c>
      <c r="B333" s="281" t="s">
        <v>44</v>
      </c>
      <c r="C333" s="292">
        <v>17</v>
      </c>
      <c r="D333" s="79">
        <v>18</v>
      </c>
      <c r="E333" s="79">
        <v>19</v>
      </c>
      <c r="F333" s="168">
        <v>20</v>
      </c>
      <c r="G333" s="118"/>
      <c r="H333" s="240">
        <f>AVERAGE(LARGE(C333:G333,1),LARGE(C333:G333,2),LARGE(C333:G333,3))</f>
        <v>19</v>
      </c>
      <c r="I333" s="99"/>
      <c r="J333" s="102"/>
      <c r="K333" s="95"/>
      <c r="L333" s="95"/>
      <c r="M333" s="95"/>
    </row>
    <row r="334" spans="1:13" ht="22.5" customHeight="1">
      <c r="A334" s="103">
        <v>2</v>
      </c>
      <c r="B334" s="306" t="s">
        <v>41</v>
      </c>
      <c r="C334" s="307">
        <v>9</v>
      </c>
      <c r="D334" s="144">
        <v>14</v>
      </c>
      <c r="E334" s="144">
        <v>15</v>
      </c>
      <c r="F334" s="332">
        <v>19</v>
      </c>
      <c r="G334" s="118"/>
      <c r="H334" s="190">
        <f>AVERAGE(LARGE(C334:G334,1),LARGE(C334:G334,2),LARGE(C334:G334,3))</f>
        <v>16</v>
      </c>
      <c r="I334" s="99"/>
      <c r="J334" s="102"/>
      <c r="K334" s="95"/>
      <c r="L334" s="95"/>
      <c r="M334" s="95"/>
    </row>
    <row r="335" spans="1:13" ht="22.5" customHeight="1">
      <c r="A335" s="103">
        <v>3</v>
      </c>
      <c r="B335" s="319" t="s">
        <v>19</v>
      </c>
      <c r="C335" s="333">
        <v>15</v>
      </c>
      <c r="D335" s="304">
        <v>14</v>
      </c>
      <c r="E335" s="129">
        <v>13</v>
      </c>
      <c r="F335" s="129">
        <v>11</v>
      </c>
      <c r="G335" s="118"/>
      <c r="H335" s="334">
        <f>AVERAGE(LARGE(C335:G335,1),LARGE(C335:G335,2),LARGE(C335:G335,3))</f>
        <v>14</v>
      </c>
      <c r="I335" s="99"/>
      <c r="J335" s="102"/>
      <c r="K335" s="95"/>
      <c r="L335" s="95"/>
      <c r="M335" s="95"/>
    </row>
    <row r="336" spans="1:13" ht="22.5" customHeight="1">
      <c r="A336" s="103">
        <v>4</v>
      </c>
      <c r="B336" s="116" t="s">
        <v>80</v>
      </c>
      <c r="C336" s="146">
        <v>10</v>
      </c>
      <c r="D336" s="126">
        <v>16</v>
      </c>
      <c r="E336" s="119"/>
      <c r="F336" s="126">
        <v>13</v>
      </c>
      <c r="G336" s="118"/>
      <c r="H336" s="190">
        <f>AVERAGE(LARGE(C336:G336,1),LARGE(C336:G336,2),LARGE(C336:G336,3))</f>
        <v>13</v>
      </c>
      <c r="I336" s="99"/>
      <c r="J336" s="102"/>
      <c r="K336" s="95"/>
      <c r="L336" s="95"/>
      <c r="M336" s="95"/>
    </row>
    <row r="337" spans="1:13" ht="22.5" customHeight="1">
      <c r="A337" s="103">
        <v>5</v>
      </c>
      <c r="B337" s="128" t="s">
        <v>83</v>
      </c>
      <c r="C337" s="124"/>
      <c r="D337" s="126">
        <v>18</v>
      </c>
      <c r="E337" s="126">
        <v>11</v>
      </c>
      <c r="F337" s="126">
        <v>9</v>
      </c>
      <c r="G337" s="118"/>
      <c r="H337" s="190">
        <f>AVERAGE(LARGE(C337:G337,1),LARGE(C337:G337,2),LARGE(C337:G337,3))</f>
        <v>12.666666666666666</v>
      </c>
      <c r="I337" s="99"/>
      <c r="J337" s="102"/>
      <c r="K337" s="95"/>
      <c r="L337" s="95"/>
      <c r="M337" s="95"/>
    </row>
    <row r="338" spans="1:13" ht="22.5" customHeight="1">
      <c r="A338" s="103">
        <v>6</v>
      </c>
      <c r="B338" s="128" t="s">
        <v>174</v>
      </c>
      <c r="C338" s="124"/>
      <c r="D338" s="335">
        <v>13</v>
      </c>
      <c r="E338" s="119"/>
      <c r="F338" s="119"/>
      <c r="G338" s="118"/>
      <c r="H338" s="121" t="e">
        <f>AVERAGE(LARGE(C338:G338,1),LARGE(C338:G338,2),LARGE(C338:G338,3))</f>
        <v>#VALUE!</v>
      </c>
      <c r="I338" s="99"/>
      <c r="J338" s="102"/>
      <c r="K338" s="95"/>
      <c r="L338" s="95"/>
      <c r="M338" s="95"/>
    </row>
    <row r="339" spans="1:13" ht="22.5" customHeight="1">
      <c r="A339" s="103">
        <v>7</v>
      </c>
      <c r="B339" s="123" t="s">
        <v>68</v>
      </c>
      <c r="C339" s="153">
        <v>7</v>
      </c>
      <c r="D339" s="126">
        <v>9</v>
      </c>
      <c r="E339" s="125"/>
      <c r="F339" s="125"/>
      <c r="G339" s="118"/>
      <c r="H339" s="121" t="e">
        <f>AVERAGE(LARGE(C339:G339,1),LARGE(C339:G339,2),LARGE(C339:G339,3))</f>
        <v>#VALUE!</v>
      </c>
      <c r="I339" s="99"/>
      <c r="J339" s="102"/>
      <c r="K339" s="95"/>
      <c r="L339" s="95"/>
      <c r="M339" s="95"/>
    </row>
    <row r="340" spans="1:13" ht="22.5" customHeight="1">
      <c r="A340" s="103">
        <v>8</v>
      </c>
      <c r="B340" s="123" t="s">
        <v>70</v>
      </c>
      <c r="C340" s="153">
        <v>12</v>
      </c>
      <c r="D340" s="126">
        <v>11</v>
      </c>
      <c r="E340" s="117"/>
      <c r="F340" s="119"/>
      <c r="G340" s="118"/>
      <c r="H340" s="121" t="e">
        <f>AVERAGE(LARGE(C340:G340,1),LARGE(C340:G340,2),LARGE(C340:G340,3))</f>
        <v>#VALUE!</v>
      </c>
      <c r="I340" s="99"/>
      <c r="J340" s="102"/>
      <c r="K340" s="95"/>
      <c r="L340" s="95"/>
      <c r="M340" s="95"/>
    </row>
    <row r="341" spans="1:13" ht="22.5" customHeight="1">
      <c r="A341" s="103">
        <v>9</v>
      </c>
      <c r="B341" s="128" t="s">
        <v>31</v>
      </c>
      <c r="C341" s="124"/>
      <c r="D341" s="126">
        <v>15</v>
      </c>
      <c r="E341" s="126">
        <v>15</v>
      </c>
      <c r="F341" s="119"/>
      <c r="G341" s="118"/>
      <c r="H341" s="121" t="e">
        <f>AVERAGE(LARGE(C341:G341,1),LARGE(C341:G341,2),LARGE(C341:G341,3))</f>
        <v>#VALUE!</v>
      </c>
      <c r="I341" s="99"/>
      <c r="J341" s="102"/>
      <c r="K341" s="95"/>
      <c r="L341" s="95"/>
      <c r="M341" s="95"/>
    </row>
    <row r="342" spans="1:13" ht="22.5" customHeight="1">
      <c r="A342" s="103">
        <v>10</v>
      </c>
      <c r="B342" s="123" t="s">
        <v>11</v>
      </c>
      <c r="C342" s="153">
        <v>13</v>
      </c>
      <c r="D342" s="330"/>
      <c r="E342" s="119"/>
      <c r="F342" s="126">
        <v>12</v>
      </c>
      <c r="G342" s="118"/>
      <c r="H342" s="121" t="e">
        <f>AVERAGE(LARGE(C342:G342,1),LARGE(C342:G342,2),LARGE(C342:G342,3))</f>
        <v>#VALUE!</v>
      </c>
      <c r="I342" s="99"/>
      <c r="J342" s="102"/>
      <c r="K342" s="95"/>
      <c r="L342" s="95"/>
      <c r="M342" s="95"/>
    </row>
    <row r="343" spans="1:13" ht="22.5" customHeight="1">
      <c r="A343" s="103">
        <v>11</v>
      </c>
      <c r="B343" s="116" t="s">
        <v>66</v>
      </c>
      <c r="C343" s="119"/>
      <c r="D343" s="119"/>
      <c r="E343" s="119"/>
      <c r="F343" s="126">
        <v>12</v>
      </c>
      <c r="G343" s="118"/>
      <c r="H343" s="121" t="e">
        <f>AVERAGE(LARGE(C343:G343,1),LARGE(C343:G343,2),LARGE(C343:G343,3))</f>
        <v>#VALUE!</v>
      </c>
      <c r="I343" s="99"/>
      <c r="J343" s="102"/>
      <c r="K343" s="95"/>
      <c r="L343" s="95"/>
      <c r="M343" s="95"/>
    </row>
    <row r="344" spans="1:13" ht="22.5" customHeight="1">
      <c r="A344" s="103">
        <v>12</v>
      </c>
      <c r="B344" s="147" t="s">
        <v>46</v>
      </c>
      <c r="C344" s="148"/>
      <c r="D344" s="144">
        <v>8</v>
      </c>
      <c r="E344" s="336"/>
      <c r="F344" s="336"/>
      <c r="G344" s="337"/>
      <c r="H344" s="170" t="e">
        <f>AVERAGE(LARGE(C344:G344,1),LARGE(C344:G344,2),LARGE(C344:G344,3))</f>
        <v>#VALUE!</v>
      </c>
      <c r="I344" s="99"/>
      <c r="J344" s="102"/>
      <c r="K344" s="95"/>
      <c r="L344" s="95"/>
      <c r="M344" s="95"/>
    </row>
    <row r="345" spans="1:13" ht="22.5" customHeight="1">
      <c r="A345" s="103">
        <v>13</v>
      </c>
      <c r="B345" s="116" t="s">
        <v>79</v>
      </c>
      <c r="C345" s="146">
        <v>16</v>
      </c>
      <c r="D345" s="119"/>
      <c r="E345" s="126">
        <v>11</v>
      </c>
      <c r="F345" s="119"/>
      <c r="G345" s="338"/>
      <c r="H345" s="121" t="e">
        <f>AVERAGE(LARGE(C345:G345,1),LARGE(C345:G345,2),LARGE(C345:G345,3))</f>
        <v>#VALUE!</v>
      </c>
      <c r="I345" s="99"/>
      <c r="J345" s="102"/>
      <c r="K345" s="95"/>
      <c r="L345" s="95"/>
      <c r="M345" s="95"/>
    </row>
    <row r="346" spans="1:13" ht="22.5" customHeight="1">
      <c r="A346" s="103">
        <v>14</v>
      </c>
      <c r="B346" s="248" t="s">
        <v>85</v>
      </c>
      <c r="C346" s="249"/>
      <c r="D346" s="304">
        <v>17</v>
      </c>
      <c r="E346" s="310"/>
      <c r="F346" s="310"/>
      <c r="G346" s="339"/>
      <c r="H346" s="253" t="e">
        <f>AVERAGE(LARGE(C346:G346,1),LARGE(C346:G346,2),LARGE(C346:G346,3))</f>
        <v>#VALUE!</v>
      </c>
      <c r="I346" s="99"/>
      <c r="J346" s="102"/>
      <c r="K346" s="95"/>
      <c r="L346" s="95"/>
      <c r="M346" s="95"/>
    </row>
    <row r="347" spans="1:13" ht="27" customHeight="1">
      <c r="A347" s="93"/>
      <c r="B347" s="6"/>
      <c r="C347" s="95"/>
      <c r="D347" s="95"/>
      <c r="E347" s="95"/>
      <c r="F347" s="95"/>
      <c r="G347" s="95"/>
      <c r="H347" s="95"/>
      <c r="I347" s="102"/>
      <c r="J347" s="102"/>
      <c r="K347" s="95"/>
      <c r="L347" s="95"/>
      <c r="M347" s="95"/>
    </row>
    <row r="348" spans="1:13" ht="27" customHeight="1">
      <c r="A348" s="93"/>
      <c r="B348" s="97" t="s">
        <v>244</v>
      </c>
      <c r="C348" s="97"/>
      <c r="D348" s="97"/>
      <c r="E348" s="98" t="s">
        <v>213</v>
      </c>
      <c r="F348" s="98"/>
      <c r="G348" s="98"/>
      <c r="H348" s="98"/>
      <c r="I348" s="95"/>
      <c r="J348" s="95"/>
      <c r="K348" s="95"/>
      <c r="L348" s="95"/>
      <c r="M348" s="95"/>
    </row>
    <row r="349" spans="1:13" ht="20.25" customHeight="1">
      <c r="A349" s="96"/>
      <c r="B349" s="101"/>
      <c r="C349" s="102">
        <v>1</v>
      </c>
      <c r="D349" s="102">
        <v>2</v>
      </c>
      <c r="E349" s="102">
        <v>3</v>
      </c>
      <c r="F349" s="102">
        <v>4</v>
      </c>
      <c r="G349" s="102"/>
      <c r="H349" s="102"/>
      <c r="I349" s="95"/>
      <c r="J349" s="95"/>
      <c r="K349" s="95"/>
      <c r="L349" s="95"/>
      <c r="M349" s="95"/>
    </row>
    <row r="350" spans="1:13" ht="20.25" customHeight="1">
      <c r="A350" s="100"/>
      <c r="B350" s="104" t="s">
        <v>3</v>
      </c>
      <c r="C350" s="105">
        <v>43604</v>
      </c>
      <c r="D350" s="106">
        <v>43666</v>
      </c>
      <c r="E350" s="106">
        <v>43715</v>
      </c>
      <c r="F350" s="106">
        <v>43785</v>
      </c>
      <c r="G350" s="108" t="s">
        <v>214</v>
      </c>
      <c r="I350" s="95"/>
      <c r="J350" s="95"/>
      <c r="K350" s="95"/>
      <c r="L350" s="95"/>
      <c r="M350" s="95"/>
    </row>
    <row r="351" spans="1:13" ht="20.25" customHeight="1">
      <c r="A351" s="103">
        <v>1</v>
      </c>
      <c r="B351" s="16" t="s">
        <v>13</v>
      </c>
      <c r="C351" s="164"/>
      <c r="D351" s="340">
        <v>522</v>
      </c>
      <c r="E351" s="165"/>
      <c r="F351" s="165"/>
      <c r="G351" s="181" t="e">
        <f>AVERAGE(LARGE(C351:F351,1),LARGE(C351:F351,2),LARGE(C351:F351,3))</f>
        <v>#VALUE!</v>
      </c>
      <c r="I351" s="95"/>
      <c r="J351" s="95"/>
      <c r="K351" s="95"/>
      <c r="L351" s="95"/>
      <c r="M351" s="95"/>
    </row>
    <row r="352" spans="1:13" ht="20.25" customHeight="1">
      <c r="A352" s="103">
        <v>2</v>
      </c>
      <c r="B352" s="22" t="s">
        <v>74</v>
      </c>
      <c r="C352" s="164"/>
      <c r="D352" s="23">
        <v>430</v>
      </c>
      <c r="E352" s="165"/>
      <c r="F352" s="165"/>
      <c r="G352" s="170"/>
      <c r="I352" s="95"/>
      <c r="J352" s="95"/>
      <c r="K352" s="95"/>
      <c r="L352" s="95"/>
      <c r="M352" s="95"/>
    </row>
    <row r="353" spans="1:13" ht="12.75">
      <c r="A353" s="103">
        <v>3</v>
      </c>
      <c r="B353" s="82" t="s">
        <v>94</v>
      </c>
      <c r="C353" s="164"/>
      <c r="D353" s="85">
        <v>452</v>
      </c>
      <c r="E353" s="165"/>
      <c r="F353" s="165"/>
      <c r="G353" s="170"/>
      <c r="I353" s="95"/>
      <c r="J353" s="95"/>
      <c r="K353" s="95"/>
      <c r="L353" s="95"/>
      <c r="M353" s="95"/>
    </row>
    <row r="354" spans="1:13" ht="12.75">
      <c r="A354" s="93"/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</row>
    <row r="355" spans="1:13" ht="27" customHeight="1">
      <c r="A355" s="341"/>
      <c r="B355" s="341"/>
      <c r="C355" s="341"/>
      <c r="D355" s="341"/>
      <c r="E355" s="341"/>
      <c r="F355" s="341"/>
      <c r="G355" s="341"/>
      <c r="H355" s="341"/>
      <c r="I355" s="341"/>
      <c r="J355" s="341"/>
      <c r="K355" s="341"/>
      <c r="L355" s="341"/>
      <c r="M355" s="341"/>
    </row>
    <row r="356" spans="1:13" ht="12.75">
      <c r="A356" s="93"/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</row>
    <row r="357" spans="1:13" ht="12.75">
      <c r="A357" s="93"/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</row>
    <row r="358" spans="1:13" ht="12.75">
      <c r="A358" s="93"/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</row>
    <row r="359" spans="1:13" ht="12.75">
      <c r="A359" s="93"/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</row>
    <row r="360" spans="1:13" ht="12.75">
      <c r="A360" s="93"/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</row>
    <row r="361" spans="1:13" ht="12.75">
      <c r="A361" s="93"/>
      <c r="B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</row>
    <row r="362" spans="1:13" ht="12.75">
      <c r="A362" s="93"/>
      <c r="B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</row>
    <row r="363" spans="1:13" ht="12.75">
      <c r="A363" s="93"/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</row>
    <row r="364" spans="1:13" ht="12.75">
      <c r="A364" s="93"/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</row>
    <row r="365" spans="1:13" ht="12.75">
      <c r="A365" s="93"/>
      <c r="B365" s="95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</row>
    <row r="366" spans="1:13" ht="12.75">
      <c r="A366" s="93"/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</row>
    <row r="367" spans="1:13" ht="12.75">
      <c r="A367" s="93"/>
      <c r="B367" s="95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</row>
    <row r="368" spans="1:13" ht="12.75">
      <c r="A368" s="93"/>
      <c r="B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</row>
    <row r="369" spans="1:13" ht="12.75">
      <c r="A369" s="93"/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</row>
    <row r="370" spans="1:13" ht="12.75">
      <c r="A370" s="93"/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</row>
    <row r="371" spans="1:13" ht="12.75">
      <c r="A371" s="93"/>
      <c r="B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</row>
    <row r="372" spans="1:13" ht="12.75">
      <c r="A372" s="93"/>
      <c r="B372" s="95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</row>
    <row r="373" spans="1:13" ht="12.75">
      <c r="A373" s="93"/>
      <c r="B373" s="95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</row>
    <row r="374" spans="1:13" ht="12.75">
      <c r="A374" s="93"/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</row>
    <row r="375" spans="1:13" ht="12.75">
      <c r="A375" s="93"/>
      <c r="B375" s="95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</row>
    <row r="376" spans="1:13" ht="12.75">
      <c r="A376" s="93"/>
      <c r="B376" s="95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</row>
    <row r="377" spans="1:13" ht="12.75">
      <c r="A377" s="93"/>
      <c r="B377" s="95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</row>
    <row r="378" spans="1:13" ht="12.75">
      <c r="A378" s="93"/>
      <c r="B378" s="95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</row>
    <row r="379" spans="1:13" ht="12.75">
      <c r="A379" s="93"/>
      <c r="B379" s="95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</row>
    <row r="380" spans="1:13" ht="12.75">
      <c r="A380" s="93"/>
      <c r="B380" s="95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</row>
    <row r="381" spans="1:13" ht="12.75">
      <c r="A381" s="93"/>
      <c r="B381" s="95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</row>
    <row r="382" spans="1:13" ht="12.75">
      <c r="A382" s="93"/>
      <c r="B382" s="95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</row>
    <row r="383" spans="1:13" ht="12.75">
      <c r="A383" s="93"/>
      <c r="B383" s="95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</row>
    <row r="384" spans="1:13" ht="12.75">
      <c r="A384" s="93"/>
      <c r="B384" s="95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</row>
    <row r="385" spans="1:13" ht="12.75">
      <c r="A385" s="93"/>
      <c r="B385" s="95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</row>
    <row r="386" spans="1:13" ht="12.75">
      <c r="A386" s="93"/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</row>
    <row r="387" spans="1:13" ht="12.75">
      <c r="A387" s="93"/>
      <c r="B387" s="95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</row>
    <row r="388" spans="1:13" ht="12.75">
      <c r="A388" s="93"/>
      <c r="B388" s="95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</row>
    <row r="389" spans="1:13" ht="12.75">
      <c r="A389" s="93"/>
      <c r="B389" s="95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</row>
    <row r="390" spans="1:13" ht="12.75">
      <c r="A390" s="93"/>
      <c r="B390" s="95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</row>
    <row r="391" spans="1:13" ht="12.75">
      <c r="A391" s="93"/>
      <c r="B391" s="95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</row>
    <row r="392" spans="1:13" ht="12.75">
      <c r="A392" s="93"/>
      <c r="B392" s="95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</row>
    <row r="393" spans="1:13" ht="12.75">
      <c r="A393" s="93"/>
      <c r="B393" s="95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</row>
    <row r="394" spans="1:13" ht="12.75">
      <c r="A394" s="93"/>
      <c r="B394" s="95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</row>
    <row r="395" spans="1:13" ht="12.75">
      <c r="A395" s="93"/>
      <c r="B395" s="95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</row>
    <row r="396" spans="1:13" ht="12.75">
      <c r="A396" s="93"/>
      <c r="B396" s="95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</row>
    <row r="397" spans="1:13" ht="12.75">
      <c r="A397" s="93"/>
      <c r="B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</row>
    <row r="398" spans="1:13" ht="12.75">
      <c r="A398" s="93"/>
      <c r="B398" s="95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</row>
    <row r="399" spans="1:13" ht="12.75">
      <c r="A399" s="93"/>
      <c r="B399" s="95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</row>
    <row r="400" spans="1:13" ht="12.75">
      <c r="A400" s="93"/>
      <c r="B400" s="95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</row>
    <row r="401" spans="1:13" ht="12.75">
      <c r="A401" s="93"/>
      <c r="B401" s="95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</row>
    <row r="402" spans="1:13" ht="12.75">
      <c r="A402" s="93"/>
      <c r="B402" s="95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</row>
    <row r="403" spans="1:13" ht="12.75">
      <c r="A403" s="93"/>
      <c r="B403" s="95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</row>
    <row r="404" spans="1:13" ht="12.75">
      <c r="A404" s="93"/>
      <c r="B404" s="95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</row>
    <row r="405" spans="1:13" ht="12.75">
      <c r="A405" s="93"/>
      <c r="B405" s="95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</row>
    <row r="406" spans="1:13" ht="12.75">
      <c r="A406" s="93"/>
      <c r="B406" s="95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</row>
    <row r="407" spans="1:13" ht="12.75">
      <c r="A407" s="93"/>
      <c r="B407" s="95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</row>
    <row r="408" spans="1:13" ht="12.75">
      <c r="A408" s="93"/>
      <c r="B408" s="95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</row>
    <row r="409" spans="1:13" ht="12.75">
      <c r="A409" s="93"/>
      <c r="B409" s="95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</row>
    <row r="410" spans="1:13" ht="12.75">
      <c r="A410" s="93"/>
      <c r="B410" s="95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</row>
    <row r="411" spans="1:13" ht="12.75">
      <c r="A411" s="93"/>
      <c r="B411" s="95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</row>
  </sheetData>
  <sheetProtection selectLockedCells="1" selectUnlockedCells="1"/>
  <mergeCells count="48">
    <mergeCell ref="B2:G2"/>
    <mergeCell ref="B5:D5"/>
    <mergeCell ref="E5:H5"/>
    <mergeCell ref="B24:D24"/>
    <mergeCell ref="E24:H24"/>
    <mergeCell ref="B45:D45"/>
    <mergeCell ref="E45:H45"/>
    <mergeCell ref="B55:D55"/>
    <mergeCell ref="E55:H55"/>
    <mergeCell ref="B64:D64"/>
    <mergeCell ref="E64:H64"/>
    <mergeCell ref="B77:D77"/>
    <mergeCell ref="E77:H77"/>
    <mergeCell ref="B86:H86"/>
    <mergeCell ref="K86:N86"/>
    <mergeCell ref="B93:D93"/>
    <mergeCell ref="E93:H93"/>
    <mergeCell ref="B113:D113"/>
    <mergeCell ref="E113:H113"/>
    <mergeCell ref="B125:H125"/>
    <mergeCell ref="K125:N125"/>
    <mergeCell ref="B130:F130"/>
    <mergeCell ref="G130:K130"/>
    <mergeCell ref="B149:F149"/>
    <mergeCell ref="G149:K149"/>
    <mergeCell ref="B166:F166"/>
    <mergeCell ref="G166:K166"/>
    <mergeCell ref="B171:D171"/>
    <mergeCell ref="E171:H171"/>
    <mergeCell ref="B196:D196"/>
    <mergeCell ref="E196:H196"/>
    <mergeCell ref="B223:D223"/>
    <mergeCell ref="E223:H223"/>
    <mergeCell ref="B230:H230"/>
    <mergeCell ref="K230:N230"/>
    <mergeCell ref="B243:H243"/>
    <mergeCell ref="K243:N243"/>
    <mergeCell ref="B257:D257"/>
    <mergeCell ref="E257:H257"/>
    <mergeCell ref="B279:H279"/>
    <mergeCell ref="B284:D284"/>
    <mergeCell ref="E284:H284"/>
    <mergeCell ref="B311:D311"/>
    <mergeCell ref="E311:H311"/>
    <mergeCell ref="B330:D330"/>
    <mergeCell ref="E330:H330"/>
    <mergeCell ref="B348:D348"/>
    <mergeCell ref="E348:H348"/>
  </mergeCells>
  <printOptions/>
  <pageMargins left="0.15763888888888888" right="0.15763888888888888" top="0.15763888888888888" bottom="0.4201388888888889" header="0.5118055555555555" footer="0.5118055555555555"/>
  <pageSetup horizontalDpi="300" verticalDpi="300" orientation="portrait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="90" zoomScaleNormal="90" workbookViewId="0" topLeftCell="A1">
      <selection activeCell="B2" sqref="B2"/>
    </sheetView>
  </sheetViews>
  <sheetFormatPr defaultColWidth="11.421875" defaultRowHeight="12.75"/>
  <cols>
    <col min="1" max="1" width="3.8515625" style="0" customWidth="1"/>
    <col min="2" max="2" width="55.00390625" style="0" customWidth="1"/>
    <col min="3" max="3" width="32.57421875" style="0" customWidth="1"/>
  </cols>
  <sheetData>
    <row r="1" ht="20.25" customHeight="1"/>
    <row r="2" spans="2:3" ht="12.75">
      <c r="B2" s="342" t="s">
        <v>245</v>
      </c>
      <c r="C2" s="342"/>
    </row>
    <row r="3" spans="2:3" ht="12.75">
      <c r="B3" s="343" t="s">
        <v>246</v>
      </c>
      <c r="C3" s="344" t="s">
        <v>247</v>
      </c>
    </row>
    <row r="4" spans="1:3" ht="12.75">
      <c r="A4">
        <v>1</v>
      </c>
      <c r="B4" s="345" t="s">
        <v>73</v>
      </c>
      <c r="C4" s="345" t="s">
        <v>41</v>
      </c>
    </row>
    <row r="5" spans="1:3" ht="12.75">
      <c r="A5">
        <v>2</v>
      </c>
      <c r="B5" s="345" t="s">
        <v>248</v>
      </c>
      <c r="C5" s="345" t="s">
        <v>41</v>
      </c>
    </row>
    <row r="6" spans="1:3" ht="12.75">
      <c r="A6">
        <v>3</v>
      </c>
      <c r="B6" s="345" t="s">
        <v>249</v>
      </c>
      <c r="C6" s="345" t="s">
        <v>61</v>
      </c>
    </row>
    <row r="7" spans="1:3" ht="12.75">
      <c r="A7">
        <v>4</v>
      </c>
      <c r="B7" s="345" t="s">
        <v>250</v>
      </c>
      <c r="C7" s="345" t="s">
        <v>41</v>
      </c>
    </row>
    <row r="8" spans="1:3" ht="12.75">
      <c r="A8">
        <v>5</v>
      </c>
      <c r="B8" s="345" t="s">
        <v>251</v>
      </c>
      <c r="C8" s="345" t="s">
        <v>58</v>
      </c>
    </row>
    <row r="9" spans="1:3" ht="12.75">
      <c r="A9">
        <v>6</v>
      </c>
      <c r="B9" s="346" t="s">
        <v>252</v>
      </c>
      <c r="C9" s="346" t="s">
        <v>28</v>
      </c>
    </row>
    <row r="10" spans="1:3" ht="12.75">
      <c r="A10">
        <v>7</v>
      </c>
      <c r="B10" s="346" t="s">
        <v>253</v>
      </c>
      <c r="C10" s="346" t="s">
        <v>28</v>
      </c>
    </row>
    <row r="11" spans="1:3" ht="12.75">
      <c r="A11">
        <v>8</v>
      </c>
      <c r="B11" s="345" t="s">
        <v>254</v>
      </c>
      <c r="C11" s="345" t="s">
        <v>8</v>
      </c>
    </row>
    <row r="12" spans="1:3" ht="12.75">
      <c r="A12">
        <v>9</v>
      </c>
      <c r="B12" s="345" t="s">
        <v>255</v>
      </c>
      <c r="C12" s="345" t="s">
        <v>8</v>
      </c>
    </row>
    <row r="13" spans="1:3" ht="12.75">
      <c r="A13">
        <v>10</v>
      </c>
      <c r="B13" s="345" t="s">
        <v>256</v>
      </c>
      <c r="C13" s="345" t="s">
        <v>64</v>
      </c>
    </row>
    <row r="14" spans="1:3" ht="12.75">
      <c r="A14">
        <v>11</v>
      </c>
      <c r="B14" s="345" t="s">
        <v>257</v>
      </c>
      <c r="C14" s="345" t="s">
        <v>70</v>
      </c>
    </row>
    <row r="15" spans="1:3" ht="12.75">
      <c r="A15">
        <v>12</v>
      </c>
      <c r="B15" s="345" t="s">
        <v>258</v>
      </c>
      <c r="C15" s="345" t="s">
        <v>44</v>
      </c>
    </row>
    <row r="16" spans="1:3" ht="12.75">
      <c r="A16">
        <v>13</v>
      </c>
      <c r="B16" s="345" t="s">
        <v>259</v>
      </c>
      <c r="C16" s="345" t="s">
        <v>31</v>
      </c>
    </row>
    <row r="17" spans="1:3" ht="12.75">
      <c r="A17">
        <v>14</v>
      </c>
      <c r="B17" s="345" t="s">
        <v>260</v>
      </c>
      <c r="C17" s="345" t="s">
        <v>44</v>
      </c>
    </row>
    <row r="18" spans="1:3" ht="12.75">
      <c r="A18">
        <v>15</v>
      </c>
      <c r="B18" s="345" t="s">
        <v>261</v>
      </c>
      <c r="C18" s="345" t="s">
        <v>31</v>
      </c>
    </row>
    <row r="19" spans="1:3" ht="12.75">
      <c r="A19">
        <v>16</v>
      </c>
      <c r="B19" s="345" t="s">
        <v>262</v>
      </c>
      <c r="C19" s="345" t="s">
        <v>44</v>
      </c>
    </row>
  </sheetData>
  <sheetProtection selectLockedCells="1" selectUnlockedCells="1"/>
  <mergeCells count="1">
    <mergeCell ref="B2:C2"/>
  </mergeCells>
  <printOptions/>
  <pageMargins left="0.27569444444444446" right="0.15763888888888888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8"/>
  <sheetViews>
    <sheetView zoomScale="80" zoomScaleNormal="80" workbookViewId="0" topLeftCell="A1">
      <selection activeCell="C2" sqref="C2"/>
    </sheetView>
  </sheetViews>
  <sheetFormatPr defaultColWidth="11.421875" defaultRowHeight="12.75"/>
  <cols>
    <col min="1" max="1" width="4.57421875" style="1" customWidth="1"/>
    <col min="2" max="2" width="49.421875" style="0" customWidth="1"/>
    <col min="3" max="3" width="18.7109375" style="0" customWidth="1"/>
    <col min="4" max="4" width="29.140625" style="0" customWidth="1"/>
    <col min="5" max="5" width="12.421875" style="0" customWidth="1"/>
    <col min="6" max="6" width="11.421875" style="1" customWidth="1"/>
    <col min="7" max="7" width="9.28125" style="0" customWidth="1"/>
  </cols>
  <sheetData>
    <row r="1" spans="1:5" ht="52.5" customHeight="1">
      <c r="A1" s="347"/>
      <c r="B1" s="2"/>
      <c r="E1" s="4"/>
    </row>
    <row r="2" spans="1:5" ht="75" customHeight="1">
      <c r="A2" s="347"/>
      <c r="B2" s="2"/>
      <c r="E2" s="4"/>
    </row>
    <row r="3" spans="1:5" ht="12.75">
      <c r="A3" s="347"/>
      <c r="B3" s="348" t="s">
        <v>1</v>
      </c>
      <c r="C3" s="349" t="s">
        <v>2</v>
      </c>
      <c r="D3" s="350" t="s">
        <v>3</v>
      </c>
      <c r="E3" s="349" t="s">
        <v>4</v>
      </c>
    </row>
    <row r="4" spans="1:5" ht="9" customHeight="1">
      <c r="A4" s="347"/>
      <c r="B4" s="351"/>
      <c r="C4" s="352"/>
      <c r="D4" s="353"/>
      <c r="E4" s="354"/>
    </row>
    <row r="5" spans="1:5" ht="20.25" customHeight="1">
      <c r="A5" s="347"/>
      <c r="B5" s="355" t="s">
        <v>263</v>
      </c>
      <c r="C5" s="356">
        <v>43562</v>
      </c>
      <c r="D5" s="357" t="s">
        <v>41</v>
      </c>
      <c r="E5" s="358" t="s">
        <v>264</v>
      </c>
    </row>
    <row r="6" spans="1:5" ht="9" customHeight="1">
      <c r="A6" s="347"/>
      <c r="B6" s="351"/>
      <c r="C6" s="352"/>
      <c r="D6" s="353"/>
      <c r="E6" s="354"/>
    </row>
    <row r="7" spans="1:5" ht="20.25" customHeight="1">
      <c r="A7" s="347"/>
      <c r="B7" s="355" t="s">
        <v>265</v>
      </c>
      <c r="C7" s="356">
        <v>43722</v>
      </c>
      <c r="D7" s="357" t="s">
        <v>41</v>
      </c>
      <c r="E7" s="358" t="s">
        <v>266</v>
      </c>
    </row>
    <row r="8" spans="1:5" ht="9" customHeight="1">
      <c r="A8" s="347"/>
      <c r="B8" s="351"/>
      <c r="C8" s="352"/>
      <c r="D8" s="353"/>
      <c r="E8" s="354"/>
    </row>
    <row r="9" spans="1:5" ht="20.25" customHeight="1">
      <c r="A9" s="347"/>
      <c r="B9" s="355" t="s">
        <v>267</v>
      </c>
      <c r="C9" s="356">
        <v>43736</v>
      </c>
      <c r="D9" s="357" t="s">
        <v>41</v>
      </c>
      <c r="E9" s="358" t="s">
        <v>268</v>
      </c>
    </row>
    <row r="10" spans="1:5" ht="9" customHeight="1">
      <c r="A10" s="347"/>
      <c r="B10" s="351"/>
      <c r="C10" s="352"/>
      <c r="D10" s="353"/>
      <c r="E10" s="354"/>
    </row>
    <row r="11" spans="1:5" ht="20.25" customHeight="1">
      <c r="A11" s="347"/>
      <c r="B11" s="355" t="s">
        <v>269</v>
      </c>
      <c r="C11" s="356">
        <v>43582</v>
      </c>
      <c r="D11" s="357" t="s">
        <v>46</v>
      </c>
      <c r="E11" s="358" t="s">
        <v>270</v>
      </c>
    </row>
    <row r="12" spans="1:5" ht="9" customHeight="1">
      <c r="A12" s="347"/>
      <c r="B12" s="351"/>
      <c r="C12" s="352"/>
      <c r="D12" s="353"/>
      <c r="E12" s="354"/>
    </row>
    <row r="13" spans="1:5" ht="21" customHeight="1">
      <c r="A13" s="347"/>
      <c r="B13" s="355" t="s">
        <v>271</v>
      </c>
      <c r="C13" s="356">
        <v>43723</v>
      </c>
      <c r="D13" s="357" t="s">
        <v>8</v>
      </c>
      <c r="E13" s="358" t="s">
        <v>272</v>
      </c>
    </row>
    <row r="14" spans="1:5" ht="9" customHeight="1">
      <c r="A14" s="347"/>
      <c r="B14" s="351"/>
      <c r="C14" s="352"/>
      <c r="D14" s="353"/>
      <c r="E14" s="354"/>
    </row>
    <row r="15" spans="1:5" ht="21" customHeight="1">
      <c r="A15" s="347"/>
      <c r="B15" s="355" t="s">
        <v>273</v>
      </c>
      <c r="C15" s="356">
        <v>43533</v>
      </c>
      <c r="D15" s="357" t="s">
        <v>23</v>
      </c>
      <c r="E15" s="358" t="s">
        <v>274</v>
      </c>
    </row>
    <row r="16" spans="1:5" ht="9" customHeight="1">
      <c r="A16" s="347"/>
      <c r="B16" s="351"/>
      <c r="C16" s="359"/>
      <c r="D16" s="353"/>
      <c r="E16" s="354"/>
    </row>
    <row r="17" spans="1:5" ht="21" customHeight="1">
      <c r="A17" s="347"/>
      <c r="B17" s="355" t="s">
        <v>275</v>
      </c>
      <c r="C17" s="356">
        <v>43547</v>
      </c>
      <c r="D17" s="357" t="s">
        <v>64</v>
      </c>
      <c r="E17" s="358" t="s">
        <v>276</v>
      </c>
    </row>
    <row r="18" spans="1:5" ht="9" customHeight="1">
      <c r="A18" s="347"/>
      <c r="B18" s="351"/>
      <c r="C18" s="352"/>
      <c r="D18" s="353"/>
      <c r="E18" s="354"/>
    </row>
    <row r="19" spans="1:5" ht="21" customHeight="1">
      <c r="A19" s="347"/>
      <c r="B19" s="355" t="s">
        <v>243</v>
      </c>
      <c r="C19" s="356">
        <v>43743</v>
      </c>
      <c r="D19" s="357" t="s">
        <v>44</v>
      </c>
      <c r="E19" s="358" t="s">
        <v>277</v>
      </c>
    </row>
    <row r="20" spans="1:5" ht="9" customHeight="1">
      <c r="A20" s="347"/>
      <c r="B20" s="351"/>
      <c r="C20" s="352"/>
      <c r="D20" s="353"/>
      <c r="E20" s="354"/>
    </row>
    <row r="21" spans="1:5" ht="21" customHeight="1">
      <c r="A21" s="347"/>
      <c r="B21" s="355" t="s">
        <v>278</v>
      </c>
      <c r="C21" s="356">
        <v>43568</v>
      </c>
      <c r="D21" s="357" t="s">
        <v>83</v>
      </c>
      <c r="E21" s="358" t="s">
        <v>279</v>
      </c>
    </row>
    <row r="22" spans="1:5" ht="9" customHeight="1">
      <c r="A22" s="347"/>
      <c r="B22" s="351"/>
      <c r="C22" s="359"/>
      <c r="D22" s="353"/>
      <c r="E22" s="354"/>
    </row>
    <row r="23" spans="1:5" ht="21" customHeight="1">
      <c r="A23" s="347"/>
      <c r="B23" s="355" t="s">
        <v>280</v>
      </c>
      <c r="C23" s="356">
        <v>43568</v>
      </c>
      <c r="D23" s="357" t="s">
        <v>46</v>
      </c>
      <c r="E23" s="358" t="s">
        <v>281</v>
      </c>
    </row>
    <row r="24" spans="1:5" ht="9" customHeight="1">
      <c r="A24" s="347"/>
      <c r="B24" s="351"/>
      <c r="C24" s="359"/>
      <c r="D24" s="353"/>
      <c r="E24" s="354"/>
    </row>
    <row r="25" spans="1:5" ht="21" customHeight="1">
      <c r="A25" s="347"/>
      <c r="B25" s="355" t="s">
        <v>190</v>
      </c>
      <c r="C25" s="356">
        <v>43680</v>
      </c>
      <c r="D25" s="357" t="s">
        <v>13</v>
      </c>
      <c r="E25" s="358" t="s">
        <v>282</v>
      </c>
    </row>
    <row r="26" spans="1:5" ht="9" customHeight="1">
      <c r="A26" s="347"/>
      <c r="B26" s="351"/>
      <c r="C26" s="352"/>
      <c r="D26" s="353"/>
      <c r="E26" s="354"/>
    </row>
    <row r="27" spans="1:5" ht="20.25" customHeight="1">
      <c r="A27" s="347"/>
      <c r="B27" s="355" t="s">
        <v>283</v>
      </c>
      <c r="C27" s="356">
        <v>43694</v>
      </c>
      <c r="D27" s="357" t="s">
        <v>198</v>
      </c>
      <c r="E27" s="358" t="s">
        <v>284</v>
      </c>
    </row>
    <row r="28" spans="1:5" ht="9" customHeight="1">
      <c r="A28" s="347"/>
      <c r="B28" s="351"/>
      <c r="C28" s="359"/>
      <c r="D28" s="353"/>
      <c r="E28" s="354"/>
    </row>
    <row r="29" spans="1:5" ht="20.25" customHeight="1" hidden="1">
      <c r="A29" s="347"/>
      <c r="B29" s="355" t="s">
        <v>285</v>
      </c>
      <c r="C29" s="356"/>
      <c r="D29" s="360"/>
      <c r="E29" s="358"/>
    </row>
    <row r="30" spans="1:5" ht="9" customHeight="1" hidden="1">
      <c r="A30" s="347"/>
      <c r="B30" s="351"/>
      <c r="C30" s="359"/>
      <c r="D30" s="353"/>
      <c r="E30" s="354"/>
    </row>
    <row r="31" spans="1:5" ht="20.25" customHeight="1" hidden="1">
      <c r="A31" s="347"/>
      <c r="B31" s="355" t="s">
        <v>286</v>
      </c>
      <c r="C31" s="356"/>
      <c r="D31" s="360"/>
      <c r="E31" s="358"/>
    </row>
    <row r="32" spans="1:5" ht="11.25" customHeight="1" hidden="1">
      <c r="A32" s="347"/>
      <c r="B32" s="351"/>
      <c r="C32" s="359"/>
      <c r="D32" s="353"/>
      <c r="E32" s="354"/>
    </row>
    <row r="33" spans="1:5" ht="20.25" customHeight="1" hidden="1">
      <c r="A33" s="347"/>
      <c r="B33" s="355" t="s">
        <v>287</v>
      </c>
      <c r="C33" s="361"/>
      <c r="D33" s="360"/>
      <c r="E33" s="358"/>
    </row>
    <row r="34" spans="1:5" ht="11.25" customHeight="1" hidden="1">
      <c r="A34" s="347"/>
      <c r="B34" s="351"/>
      <c r="C34" s="359"/>
      <c r="D34" s="362"/>
      <c r="E34" s="354"/>
    </row>
    <row r="35" spans="1:5" ht="20.25" customHeight="1">
      <c r="A35" s="347"/>
      <c r="B35" s="355" t="s">
        <v>288</v>
      </c>
      <c r="C35" s="356">
        <v>43652</v>
      </c>
      <c r="D35" s="363" t="s">
        <v>28</v>
      </c>
      <c r="E35" s="358" t="s">
        <v>289</v>
      </c>
    </row>
    <row r="36" spans="1:5" ht="9" customHeight="1">
      <c r="A36" s="347"/>
      <c r="B36" s="351"/>
      <c r="C36" s="359"/>
      <c r="D36" s="353"/>
      <c r="E36" s="354"/>
    </row>
    <row r="37" spans="1:5" ht="20.25" customHeight="1">
      <c r="A37" s="347"/>
      <c r="B37" s="355" t="s">
        <v>290</v>
      </c>
      <c r="C37" s="356">
        <v>43778</v>
      </c>
      <c r="D37" s="363" t="s">
        <v>28</v>
      </c>
      <c r="E37" s="364">
        <v>325</v>
      </c>
    </row>
    <row r="38" spans="1:5" ht="9" customHeight="1">
      <c r="A38" s="347"/>
      <c r="B38" s="351"/>
      <c r="C38" s="359"/>
      <c r="D38" s="353"/>
      <c r="E38" s="354"/>
    </row>
    <row r="39" spans="1:5" ht="20.25" customHeight="1">
      <c r="A39" s="347"/>
      <c r="B39" s="355" t="s">
        <v>291</v>
      </c>
      <c r="C39" s="356"/>
      <c r="D39" s="363"/>
      <c r="E39" s="358"/>
    </row>
    <row r="40" spans="1:5" ht="9.75" customHeight="1">
      <c r="A40" s="347"/>
      <c r="B40" s="351"/>
      <c r="C40" s="359"/>
      <c r="D40" s="353"/>
      <c r="E40" s="354"/>
    </row>
    <row r="41" ht="12.75">
      <c r="A41" s="347"/>
    </row>
    <row r="42" ht="12.75">
      <c r="A42" s="347"/>
    </row>
    <row r="43" ht="12.75">
      <c r="A43" s="347"/>
    </row>
    <row r="44" ht="12.75">
      <c r="A44" s="347"/>
    </row>
    <row r="45" ht="12.75">
      <c r="A45" s="347"/>
    </row>
    <row r="46" ht="12.75">
      <c r="A46" s="347"/>
    </row>
    <row r="47" ht="12.75">
      <c r="A47" s="347"/>
    </row>
    <row r="48" ht="12.75">
      <c r="A48" s="347"/>
    </row>
    <row r="49" ht="12.75">
      <c r="A49" s="347"/>
    </row>
    <row r="50" ht="12.75">
      <c r="A50" s="347"/>
    </row>
    <row r="51" ht="12.75">
      <c r="A51" s="347"/>
    </row>
    <row r="52" ht="12.75">
      <c r="A52" s="347"/>
    </row>
    <row r="53" ht="12.75">
      <c r="A53" s="347"/>
    </row>
    <row r="54" ht="12.75">
      <c r="A54" s="347"/>
    </row>
    <row r="55" ht="12.75">
      <c r="A55" s="347"/>
    </row>
    <row r="56" ht="12.75">
      <c r="A56" s="347"/>
    </row>
    <row r="57" ht="12.75">
      <c r="A57" s="347"/>
    </row>
    <row r="58" ht="12.75">
      <c r="A58" s="347"/>
    </row>
    <row r="59" ht="12.75">
      <c r="A59" s="347"/>
    </row>
    <row r="60" ht="12.75">
      <c r="A60" s="347"/>
    </row>
    <row r="61" ht="12.75">
      <c r="A61" s="347"/>
    </row>
    <row r="62" ht="12.75">
      <c r="A62" s="347"/>
    </row>
    <row r="63" ht="12.75">
      <c r="A63" s="347"/>
    </row>
    <row r="64" ht="12.75">
      <c r="A64" s="347"/>
    </row>
    <row r="65" ht="12.75">
      <c r="A65" s="347"/>
    </row>
    <row r="66" ht="12.75">
      <c r="A66" s="347"/>
    </row>
    <row r="67" ht="12.75">
      <c r="A67" s="347"/>
    </row>
    <row r="68" ht="12.75">
      <c r="A68" s="347"/>
    </row>
    <row r="69" ht="12.75">
      <c r="A69" s="347"/>
    </row>
    <row r="70" ht="12.75">
      <c r="A70" s="347"/>
    </row>
    <row r="71" ht="12.75">
      <c r="A71" s="347"/>
    </row>
    <row r="72" ht="12.75">
      <c r="A72" s="347"/>
    </row>
    <row r="73" ht="12.75">
      <c r="A73" s="347"/>
    </row>
    <row r="74" ht="6.75" customHeight="1">
      <c r="A74" s="347"/>
    </row>
    <row r="75" ht="12.75">
      <c r="A75" s="347"/>
    </row>
    <row r="76" ht="12.75">
      <c r="A76" s="347"/>
    </row>
    <row r="77" ht="12.75">
      <c r="A77" s="347"/>
    </row>
    <row r="78" ht="12.75">
      <c r="A78" s="347"/>
    </row>
    <row r="79" ht="12.75">
      <c r="A79" s="347"/>
    </row>
    <row r="80" ht="12.75">
      <c r="A80" s="347"/>
    </row>
    <row r="81" ht="12.75">
      <c r="A81" s="347"/>
    </row>
    <row r="82" ht="12.75">
      <c r="A82" s="347"/>
    </row>
    <row r="83" ht="12.75">
      <c r="A83" s="347"/>
    </row>
    <row r="84" ht="12.75">
      <c r="A84" s="347"/>
    </row>
    <row r="85" ht="12.75">
      <c r="A85" s="347"/>
    </row>
    <row r="86" ht="12.75">
      <c r="A86" s="347"/>
    </row>
    <row r="87" ht="12.75">
      <c r="A87" s="347"/>
    </row>
    <row r="88" ht="12.75">
      <c r="A88" s="347"/>
    </row>
    <row r="89" ht="12.75">
      <c r="A89" s="347"/>
    </row>
    <row r="90" ht="12.75">
      <c r="A90" s="347"/>
    </row>
    <row r="91" ht="12.75">
      <c r="A91" s="347"/>
    </row>
    <row r="92" ht="12.75">
      <c r="A92" s="347"/>
    </row>
    <row r="93" ht="12.75">
      <c r="A93" s="347"/>
    </row>
    <row r="94" ht="12.75">
      <c r="A94" s="347"/>
    </row>
    <row r="95" ht="12.75">
      <c r="A95" s="347"/>
    </row>
    <row r="96" ht="12.75">
      <c r="A96" s="347"/>
    </row>
    <row r="97" ht="12.75">
      <c r="A97" s="347"/>
    </row>
    <row r="98" ht="12.75">
      <c r="A98" s="347"/>
    </row>
    <row r="99" ht="12.75">
      <c r="A99" s="347"/>
    </row>
    <row r="100" ht="12.75">
      <c r="A100" s="347"/>
    </row>
    <row r="101" ht="12.75">
      <c r="A101" s="347"/>
    </row>
    <row r="102" ht="12.75">
      <c r="A102" s="347"/>
    </row>
    <row r="103" ht="12.75">
      <c r="A103" s="347"/>
    </row>
    <row r="104" ht="12.75">
      <c r="A104" s="347"/>
    </row>
    <row r="105" ht="12.75">
      <c r="A105" s="347"/>
    </row>
    <row r="106" ht="12.75">
      <c r="A106" s="347"/>
    </row>
    <row r="107" ht="12.75">
      <c r="A107" s="347"/>
    </row>
    <row r="108" ht="12.75">
      <c r="A108" s="347"/>
    </row>
    <row r="109" ht="12.75">
      <c r="A109" s="347"/>
    </row>
    <row r="110" ht="12.75">
      <c r="A110" s="347"/>
    </row>
    <row r="111" ht="12.75">
      <c r="A111" s="347"/>
    </row>
    <row r="112" ht="12.75">
      <c r="A112" s="347"/>
    </row>
    <row r="113" ht="12.75">
      <c r="A113" s="347"/>
    </row>
    <row r="114" ht="12.75">
      <c r="A114" s="347"/>
    </row>
    <row r="115" ht="12.75">
      <c r="A115" s="347"/>
    </row>
    <row r="116" ht="12.75">
      <c r="A116" s="347"/>
    </row>
    <row r="117" ht="12.75">
      <c r="A117" s="347"/>
    </row>
    <row r="118" ht="12.75">
      <c r="A118" s="347"/>
    </row>
    <row r="119" ht="12.75">
      <c r="A119" s="347"/>
    </row>
    <row r="120" ht="12.75">
      <c r="A120" s="347"/>
    </row>
    <row r="121" ht="12.75">
      <c r="A121" s="347"/>
    </row>
    <row r="122" ht="12.75">
      <c r="A122" s="347"/>
    </row>
    <row r="123" ht="12.75">
      <c r="A123" s="347"/>
    </row>
    <row r="124" ht="6.75" customHeight="1">
      <c r="A124" s="347"/>
    </row>
    <row r="125" ht="12.75">
      <c r="A125" s="347"/>
    </row>
    <row r="126" ht="12.75">
      <c r="A126" s="347"/>
    </row>
    <row r="127" ht="12.75">
      <c r="A127" s="347"/>
    </row>
    <row r="128" ht="12.75">
      <c r="A128" s="347"/>
    </row>
    <row r="129" ht="12.75">
      <c r="A129" s="347"/>
    </row>
    <row r="130" ht="12.75">
      <c r="A130" s="347"/>
    </row>
    <row r="131" ht="12.75">
      <c r="A131" s="347"/>
    </row>
    <row r="132" ht="12.75">
      <c r="A132" s="347"/>
    </row>
    <row r="133" ht="12.75">
      <c r="A133" s="347"/>
    </row>
    <row r="134" ht="12.75">
      <c r="A134" s="347"/>
    </row>
    <row r="135" ht="12.75">
      <c r="A135" s="347"/>
    </row>
    <row r="136" ht="12.75">
      <c r="A136" s="347"/>
    </row>
    <row r="137" ht="12.75">
      <c r="A137" s="347"/>
    </row>
    <row r="138" ht="12.75">
      <c r="A138" s="347"/>
    </row>
    <row r="139" ht="12.75">
      <c r="A139" s="347"/>
    </row>
    <row r="140" ht="12.75">
      <c r="A140" s="347"/>
    </row>
    <row r="141" ht="12.75">
      <c r="A141" s="347"/>
    </row>
    <row r="142" ht="12.75">
      <c r="A142" s="347"/>
    </row>
    <row r="143" ht="12.75">
      <c r="A143" s="347"/>
    </row>
    <row r="144" ht="12.75">
      <c r="A144" s="347"/>
    </row>
    <row r="145" ht="12.75">
      <c r="A145" s="347"/>
    </row>
    <row r="146" ht="12.75">
      <c r="A146" s="347"/>
    </row>
    <row r="147" ht="12.75">
      <c r="A147" s="347"/>
    </row>
    <row r="148" ht="12.75">
      <c r="A148" s="347"/>
    </row>
    <row r="149" ht="12.75">
      <c r="A149" s="347"/>
    </row>
    <row r="150" ht="12.75">
      <c r="A150" s="347"/>
    </row>
    <row r="151" ht="12.75">
      <c r="A151" s="347"/>
    </row>
    <row r="152" ht="12.75">
      <c r="A152" s="347"/>
    </row>
    <row r="153" ht="12.75">
      <c r="A153" s="347"/>
    </row>
    <row r="154" ht="12.75">
      <c r="A154" s="347"/>
    </row>
    <row r="155" ht="12.75">
      <c r="A155" s="347"/>
    </row>
    <row r="156" ht="12.75">
      <c r="A156" s="347"/>
    </row>
    <row r="157" ht="12.75">
      <c r="A157" s="347"/>
    </row>
    <row r="158" ht="12.75">
      <c r="A158" s="347"/>
    </row>
    <row r="159" ht="12.75">
      <c r="A159" s="347"/>
    </row>
    <row r="160" ht="12.75">
      <c r="A160" s="347"/>
    </row>
    <row r="161" ht="12.75">
      <c r="A161" s="347"/>
    </row>
    <row r="162" ht="12.75">
      <c r="A162" s="347"/>
    </row>
    <row r="163" ht="12.75">
      <c r="A163" s="347"/>
    </row>
    <row r="164" ht="12.75">
      <c r="A164" s="347"/>
    </row>
    <row r="165" ht="12.75">
      <c r="A165" s="347"/>
    </row>
    <row r="166" ht="12.75">
      <c r="A166" s="347"/>
    </row>
    <row r="167" ht="12.75">
      <c r="A167" s="347"/>
    </row>
    <row r="168" ht="12.75">
      <c r="A168" s="347"/>
    </row>
  </sheetData>
  <sheetProtection selectLockedCells="1" selectUnlockedCells="1"/>
  <printOptions/>
  <pageMargins left="1.3777777777777778" right="0.15763888888888888" top="0.11805555555555555" bottom="0.15763888888888888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nombre</dc:creator>
  <cp:keywords/>
  <dc:description/>
  <cp:lastModifiedBy>cut cut</cp:lastModifiedBy>
  <cp:lastPrinted>2019-12-03T19:00:23Z</cp:lastPrinted>
  <dcterms:created xsi:type="dcterms:W3CDTF">2000-05-28T13:52:03Z</dcterms:created>
  <dcterms:modified xsi:type="dcterms:W3CDTF">2019-12-18T20:13:07Z</dcterms:modified>
  <cp:category/>
  <cp:version/>
  <cp:contentType/>
  <cp:contentStatus/>
  <cp:revision>33</cp:revision>
</cp:coreProperties>
</file>